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4.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36403BB8-5472-48A6-8129-3E32A19392D3}" xr6:coauthVersionLast="45" xr6:coauthVersionMax="46" xr10:uidLastSave="{00000000-0000-0000-0000-000000000000}"/>
  <workbookProtection workbookAlgorithmName="SHA-512" workbookHashValue="Jbwi7dSUn1NInO+tSwPGX/vcDeC144jifx3mgk5vzti40xznzVWepYPUM9T9nkHr+HLw2DE6RsxMNfKa4o1giA==" workbookSaltValue="YaWBJS8hi8T1XKO91w6VFg==" workbookSpinCount="100000" lockStructure="1"/>
  <bookViews>
    <workbookView showSheetTabs="0" xWindow="19035" yWindow="1650" windowWidth="16785" windowHeight="11145" xr2:uid="{00000000-000D-0000-FFFF-FFFF00000000}"/>
  </bookViews>
  <sheets>
    <sheet name="WELCOME" sheetId="11" r:id="rId1"/>
    <sheet name="RentalApp" sheetId="13" r:id="rId2"/>
    <sheet name="OwnerApp" sheetId="15" r:id="rId3"/>
    <sheet name="Configuration" sheetId="7" state="hidden" r:id="rId4"/>
    <sheet name="$DB.DATA" sheetId="4" state="hidden" r:id="rId5"/>
    <sheet name="$DB.LOOKUP" sheetId="2" state="hidden" r:id="rId6"/>
    <sheet name="$DB.CONFIG" sheetId="3" state="hidden" r:id="rId7"/>
    <sheet name="$DB.EXPORT" sheetId="5" state="hidden" r:id="rId8"/>
  </sheets>
  <definedNames>
    <definedName name="_xlnm._FilterDatabase" localSheetId="5" hidden="1">'$DB.LOOKUP'!$O$2:$P$2</definedName>
    <definedName name="BUILDINGPERMIT_UNITS">'$DB.DATA'!$H$283</definedName>
    <definedName name="COMPANY_LOGO">"FOOTER_BG,WELCOME_HEADER_IMG"</definedName>
    <definedName name="CONFIG_CHAR_LIMIT_LARGE">'$DB.CONFIG'!$D$18</definedName>
    <definedName name="CONFIG_CHAR_LIMIT_MEDIUM">'$DB.CONFIG'!$D$17</definedName>
    <definedName name="CONFIG_CHAR_LIMIT_SMALL">'$DB.CONFIG'!$D$16</definedName>
    <definedName name="CONFIG_CHAR_LIMIT_TEMPLATE">'$DB.CONFIG'!$D$20</definedName>
    <definedName name="CONFIG_CHAR_LIMIT_TEMPLATE_ERR">'$DB.CONFIG'!$D$21</definedName>
    <definedName name="CONFIG_CHAR_LIMIT_XLARGE">'$DB.CONFIG'!$D$19</definedName>
    <definedName name="CONFIG_POINT_HEADER_TEMPLATE">'$DB.CONFIG'!$D$22</definedName>
    <definedName name="CONFIG_SCORE_SUBHEADER_TEMPLATE">'$DB.CONFIG'!$D$23</definedName>
    <definedName name="CONFIG_SUBMISSION_DEADLINE">'$DB.CONFIG'!$D$15</definedName>
    <definedName name="CONFIG_SUBSIDY_MAX_TOTAL">'$DB.CONFIG'!$D$13</definedName>
    <definedName name="CONFORMING_UNITS">'$DB.DATA'!$H$281</definedName>
    <definedName name="COUNTY_RANGE_">'$DB.LOOKUP'!$P$1</definedName>
    <definedName name="COUNTY_RANGE_AK">'$DB.LOOKUP'!$O$70:$O$94</definedName>
    <definedName name="COUNTY_RANGE_AL">'$DB.LOOKUP'!$O$3:$O$69</definedName>
    <definedName name="COUNTY_RANGE_AR">'$DB.LOOKUP'!$O$110:$O$184</definedName>
    <definedName name="COUNTY_RANGE_AZ">'$DB.LOOKUP'!$O$95:$O$109</definedName>
    <definedName name="COUNTY_RANGE_CA">'$DB.LOOKUP'!$O$185:$O$242</definedName>
    <definedName name="COUNTY_RANGE_CO">'$DB.LOOKUP'!$O$243:$O$305</definedName>
    <definedName name="COUNTY_RANGE_CT">'$DB.LOOKUP'!$O$306:$O$313</definedName>
    <definedName name="COUNTY_RANGE_DC">'$DB.LOOKUP'!$O$317</definedName>
    <definedName name="COUNTY_RANGE_DE">'$DB.LOOKUP'!$O$314:$O$316</definedName>
    <definedName name="COUNTY_RANGE_FL">'$DB.LOOKUP'!$O$318:$O$384</definedName>
    <definedName name="COUNTY_RANGE_GA">'$DB.LOOKUP'!$O$385:$O$543</definedName>
    <definedName name="COUNTY_RANGE_GU">'$DB.LOOKUP'!$O$544</definedName>
    <definedName name="COUNTY_RANGE_HI">'$DB.LOOKUP'!$O$545:$O$549</definedName>
    <definedName name="COUNTY_RANGE_IA">'$DB.LOOKUP'!$O$788:$O$886</definedName>
    <definedName name="COUNTY_RANGE_ID">'$DB.LOOKUP'!$O$550:$O$593</definedName>
    <definedName name="COUNTY_RANGE_IL">'$DB.LOOKUP'!$O$594:$O$695</definedName>
    <definedName name="COUNTY_RANGE_IN">'$DB.LOOKUP'!$O$696:$O$787</definedName>
    <definedName name="COUNTY_RANGE_KS">'$DB.LOOKUP'!$O$887:$O$991</definedName>
    <definedName name="COUNTY_RANGE_KY">'$DB.LOOKUP'!$O$992:$O$1111</definedName>
    <definedName name="COUNTY_RANGE_LA">'$DB.LOOKUP'!$O$1112:$O$1175</definedName>
    <definedName name="COUNTY_RANGE_MA">'$DB.LOOKUP'!$O$1216:$O$1229</definedName>
    <definedName name="COUNTY_RANGE_MD">'$DB.LOOKUP'!$O$1192:$O$1215</definedName>
    <definedName name="COUNTY_RANGE_ME">'$DB.LOOKUP'!$O$1176:$O$1191</definedName>
    <definedName name="COUNTY_RANGE_MI">'$DB.LOOKUP'!$O$1230:$O$1312</definedName>
    <definedName name="COUNTY_RANGE_MN">'$DB.LOOKUP'!$O$1313:$O$1399</definedName>
    <definedName name="COUNTY_RANGE_MO">'$DB.LOOKUP'!$O$1482:$O$1596</definedName>
    <definedName name="COUNTY_RANGE_MS">'$DB.LOOKUP'!$O$1400:$O$1481</definedName>
    <definedName name="COUNTY_RANGE_MT">'$DB.LOOKUP'!$O$1597:$O$1653</definedName>
    <definedName name="COUNTY_RANGE_NC">'$DB.LOOKUP'!$O$1890:$O$1989</definedName>
    <definedName name="COUNTY_RANGE_ND">'$DB.LOOKUP'!$O$1990:$O$2042</definedName>
    <definedName name="COUNTY_RANGE_NE">'$DB.LOOKUP'!$O$1654:$O$1746</definedName>
    <definedName name="COUNTY_RANGE_NH">'$DB.LOOKUP'!$O$1764:$O$1773</definedName>
    <definedName name="COUNTY_RANGE_NJ">'$DB.LOOKUP'!$O$1774:$O$1794</definedName>
    <definedName name="COUNTY_RANGE_NM">'$DB.LOOKUP'!$O$1795:$O$1827</definedName>
    <definedName name="COUNTY_RANGE_NV">'$DB.LOOKUP'!$O$1747:$O$1763</definedName>
    <definedName name="COUNTY_RANGE_NY">'$DB.LOOKUP'!$O$1828:$O$1889</definedName>
    <definedName name="COUNTY_RANGE_OH">'$DB.LOOKUP'!$O$2043:$O$2130</definedName>
    <definedName name="COUNTY_RANGE_OK">'$DB.LOOKUP'!$O$2131:$O$2207</definedName>
    <definedName name="COUNTY_RANGE_OR">'$DB.LOOKUP'!$O$2208:$O$2243</definedName>
    <definedName name="COUNTY_RANGE_PA">'$DB.LOOKUP'!$O$2244:$O$2310</definedName>
    <definedName name="COUNTY_RANGE_PR">'$DB.LOOKUP'!$O$3145:$O$3222</definedName>
    <definedName name="COUNTY_RANGE_RI">'$DB.LOOKUP'!$O$2311:$O$2315</definedName>
    <definedName name="COUNTY_RANGE_SC">'$DB.LOOKUP'!$O$2316:$O$2361</definedName>
    <definedName name="COUNTY_RANGE_SD">'$DB.LOOKUP'!$O$2362:$O$2427</definedName>
    <definedName name="COUNTY_RANGE_TN">'$DB.LOOKUP'!$O$2428:$O$2522</definedName>
    <definedName name="COUNTY_RANGE_TX">'$DB.LOOKUP'!$O$2523:$O$2776</definedName>
    <definedName name="COUNTY_RANGE_UT">'$DB.LOOKUP'!$O$2777:$O$2805</definedName>
    <definedName name="COUNTY_RANGE_VA">'$DB.LOOKUP'!$O$2820:$O$2955</definedName>
    <definedName name="COUNTY_RANGE_VI">'$DB.LOOKUP'!$O$3223:$O$3225</definedName>
    <definedName name="COUNTY_RANGE_VT">'$DB.LOOKUP'!$O$2806:$O$2819</definedName>
    <definedName name="COUNTY_RANGE_WA">'$DB.LOOKUP'!$O$2956:$O$2994</definedName>
    <definedName name="COUNTY_RANGE_WI">'$DB.LOOKUP'!$O$3050:$O$3121</definedName>
    <definedName name="COUNTY_RANGE_WV">'$DB.LOOKUP'!$O$2995:$O$3049</definedName>
    <definedName name="COUNTY_RANGE_WY">'$DB.LOOKUP'!$O$3122:$O$3144</definedName>
    <definedName name="CS_DISPLACEMENT_A_RESULT">'$DB.LOOKUP'!$AZ$3:$AZ$7</definedName>
    <definedName name="CS_DISPLACEMENT_A_RESULT_CODE_NODISPLACEMENT">'$DB.LOOKUP'!$AZ$3</definedName>
    <definedName name="CS_PLANNING_A_RESULT">'$DB.LOOKUP'!$AX$3:$AX$7</definedName>
    <definedName name="CS_PROXIMITY_AMENITIES_DESC_REQUIRED_FLG">'$DB.DATA'!$F$298</definedName>
    <definedName name="CS_PROXIMITY_TRANSITLINES_DESC_REQUIRED_FLG">'$DB.DATA'!$F$296</definedName>
    <definedName name="CS_REVITALIZING_A_CODE">'$DB.DATA'!$H$289</definedName>
    <definedName name="CS_REVITALIZING_A_RESULT">'$DB.LOOKUP'!$AV$3:$AV$7</definedName>
    <definedName name="CS_REVITALIZING_B_RESULT">'$DB.LOOKUP'!$AW$3:$AW$7</definedName>
    <definedName name="CS_SUSTAINABLE_A_RESULT">'$DB.LOOKUP'!$AY$3:$AY$7</definedName>
    <definedName name="CS_SUSTAINABLE_DESC_REQUIRED_FLG">'$DB.DATA'!$F$301</definedName>
    <definedName name="DATA_ADV_AMT">'$DB.DATA'!$H$42</definedName>
    <definedName name="DATA_CONSTR_REHAB_START_DATE">'$DB.DATA'!$H$108</definedName>
    <definedName name="DATA_CS_DISPLACEMENT_A_CODE">'$DB.DATA'!$H$304</definedName>
    <definedName name="DATA_CS_INTEGRATION_CENSUSTRACTS_FLG">'$DB.DATA'!$H$303</definedName>
    <definedName name="DATA_CS_INTEGRATION_HOMEOWNEROP_FLG">'$DB.DATA'!$H$302</definedName>
    <definedName name="DATA_CS_PLANNING_A_CODE">'$DB.DATA'!$H$293</definedName>
    <definedName name="DATA_CS_PROXIMITY_AMENITIES">'$DB.DATA'!$H$297</definedName>
    <definedName name="DATA_CS_PROXIMITY_TRANSITLINES">'$DB.DATA'!$H$295</definedName>
    <definedName name="DATA_CS_PRXIMITY_AMENITIES">'$DB.DATA'!$H$297</definedName>
    <definedName name="DATA_CS_REVITALIZING_A_CODE">'$DB.DATA'!$H$289</definedName>
    <definedName name="DATA_CS_SUSTAINABLE_A_CODE">'$DB.DATA'!$H$299</definedName>
    <definedName name="DATA_DEVELOPER_FEE_BRACKET">'$DB.DATA'!$H$239</definedName>
    <definedName name="DATA_DIR_SUB_AMT">'$DB.DATA'!$H$38</definedName>
    <definedName name="DATA_DIR_SUB_AMT_REQUIRED">'$DB.DATA'!$F$38</definedName>
    <definedName name="DATA_EMPMNT_AFTERSCHOOL_FLG">'$DB.DATA'!$H$248</definedName>
    <definedName name="DATA_EMPMNT_ONSITEDAYCARE_FLG">'$DB.DATA'!$H$247</definedName>
    <definedName name="DATA_EMPMNT_ONSITEHEALTH_FLG">'$DB.DATA'!$H$246</definedName>
    <definedName name="DATA_EMPMNT_OWNERCOUNSELING_FLG">'$DB.DATA'!$H$244</definedName>
    <definedName name="DATA_EMPMNT_SOCIALWORKER_FLG">'$DB.DATA'!$H$249</definedName>
    <definedName name="DATA_EMPMNT_SWEATEQUITY_FLG">'$DB.DATA'!$H$245</definedName>
    <definedName name="DATA_EMPMNT_WORKFORCEDEV_FLG">'$DB.DATA'!$H$242</definedName>
    <definedName name="DATA_FIRSTTIME_HOMEBUYER_UNITS">'$DB.DATA'!$H$258</definedName>
    <definedName name="DATA_GP_ORG_TYPE">'$DB.DATA'!$H$216</definedName>
    <definedName name="DATA_GP_OWNERSHIP_INTEREST">'$DB.DATA'!$H$218</definedName>
    <definedName name="DATA_GP2_NAME">'$DB.DATA'!$H$219</definedName>
    <definedName name="DATA_GP2_ORG_TYPE">'$DB.DATA'!$H$220</definedName>
    <definedName name="DATA_GP2_OWNERSHIP_INTEREST">'$DB.DATA'!$H$222</definedName>
    <definedName name="DATA_GP3_ORG_TYPE">'$DB.DATA'!$H$224</definedName>
    <definedName name="DATA_GP3_OWNERSHIP_INTEREST">'$DB.DATA'!$H$226</definedName>
    <definedName name="DATA_HOMELESS_UNITS">'$DB.DATA'!$H$240</definedName>
    <definedName name="DATA_IN_DISTRICT">'$DB.DATA'!$H$259</definedName>
    <definedName name="DATA_INCOME_RESTRICTED_UNITS">'$DB.DATA'!$H$206</definedName>
    <definedName name="DATA_LARGE_UNITS">'$DB.DATA'!$H$307</definedName>
    <definedName name="DATA_MANAGER_UNITS">'$DB.DATA'!$H$207</definedName>
    <definedName name="DATA_POTENTIAL_HOMEBUYERS_UNITS">'$DB.DATA'!$H$287</definedName>
    <definedName name="DATA_RURAL_UNITS">'$DB.DATA'!$H$256</definedName>
    <definedName name="DATA_SCORE_COMMSTAB_FINAL">'$DB.DATA'!$H$320</definedName>
    <definedName name="DATA_SCORE_DONATEDCONVEYED_FINAL">'$DB.DATA'!$H$308</definedName>
    <definedName name="DATA_SCORE_DONATEDCONVEYED_TOTAL">'$DB.DATA'!$H$308</definedName>
    <definedName name="DATA_SCORE_EMPOWERMENT_FINAL">'$DB.DATA'!$H$319</definedName>
    <definedName name="DATA_SCORE_HOMELESS_FINAL">'$DB.DATA'!$H$315</definedName>
    <definedName name="DATA_SCORE_HOMELESS_NETUNITS_VARIABLE">'$DB.DATA'!$H$314</definedName>
    <definedName name="DATA_SCORE_HOMEPURCHASE_FINAL">'$DB.DATA'!$H$313</definedName>
    <definedName name="DATA_SCORE_INDISTRICT_FINAL">'$DB.DATA'!$H$324</definedName>
    <definedName name="DATA_SCORE_LARGEUNITS_FINAL">'$DB.DATA'!$H$317</definedName>
    <definedName name="DATA_SCORE_NONPROFSPONS_FINAL">'$DB.DATA'!$H$312</definedName>
    <definedName name="DATA_SCORE_NONPROFSPONS_OWNER">'$DB.DATA'!$H$311</definedName>
    <definedName name="DATA_SCORE_NONPROFSPONS_RENTAL">'$DB.DATA'!$H$309</definedName>
    <definedName name="DATA_SCORE_NONPROFSPONS_RENTAL_OWNERSHIPPCT">'$DB.DATA'!$H$310</definedName>
    <definedName name="DATA_SCORE_PROJREADY_FINAL">'$DB.DATA'!$H$323</definedName>
    <definedName name="DATA_SCORE_PROJREADY_OWNER">'$DB.DATA'!$H$322</definedName>
    <definedName name="DATA_SCORE_PROJREADY_RENTAL">'$DB.DATA'!$H$321</definedName>
    <definedName name="DATA_SCORE_RURAL_FINAL">'$DB.DATA'!$H$318</definedName>
    <definedName name="DATA_SCORE_SPECIALNEEDS_FINAL">'$DB.DATA'!$H$316</definedName>
    <definedName name="DATA_SCORE_SPU_FINAL">'$DB.DATA'!$H$325</definedName>
    <definedName name="DATA_SCORE_SUM_FINAL">'$DB.DATA'!$H$333</definedName>
    <definedName name="DATA_SCORE_TRGT_ENTAL_ADJUSTMENT">'$DB.DATA'!$H$329</definedName>
    <definedName name="DATA_SCORE_TRGT_FINAL">'$DB.DATA'!$H$332</definedName>
    <definedName name="DATA_SCORE_TRGT_OWNER">'$DB.DATA'!$H$331</definedName>
    <definedName name="DATA_SCORE_TRGT_RENTAL">'$DB.DATA'!$H$330</definedName>
    <definedName name="DATA_SCORE_TRGT_RENTAL_BASE_VARIABLE">'$DB.DATA'!$H$327</definedName>
    <definedName name="DATA_SCORE_TRGT_RENTAL_FINAL">'$DB.DATA'!$H$330</definedName>
    <definedName name="DATA_SCORE_TRGT_RENTAL_VLI_PCT_VARIABLE">'$DB.DATA'!$H$326</definedName>
    <definedName name="DATA_SCORE_TRGT_RENTAL_WAAMIT">'$DB.DATA'!$H$328</definedName>
    <definedName name="DATA_SPECIALNEEDS_TOTAL_UNITS">'$DB.DATA'!$H$255</definedName>
    <definedName name="DATA_SPONSOR_CERT_COVEREDMISCONDUCT_FLG">'$DB.DATA'!$H$134</definedName>
    <definedName name="DATA_SPONSOR_CONSTRUCTION_FLG">'$DB.DATA'!$H$231</definedName>
    <definedName name="DATA_SPONSOR_ORG_TYPE_CATEGORY">'$DB.DATA'!$H$208</definedName>
    <definedName name="DATA_SPONSOR_OWNERSHIP_INTEREST_BRACKET">'$DB.DATA'!$H$211</definedName>
    <definedName name="DATA_SPONSOR_POSTPURCH_CNSLING_FLG">'$DB.DATA'!$H$237</definedName>
    <definedName name="DATA_SPONSOR_PREPURCH_CNSLING_FLG">'$DB.DATA'!$H$236</definedName>
    <definedName name="DATA_SPONSOR_PROJECT_DEV_FLG">'$DB.DATA'!$H$230</definedName>
    <definedName name="DATA_SPONSOR_PROJECT_FINANCING_OWNER_FLG">'$DB.DATA'!$H$234</definedName>
    <definedName name="DATA_SPONSOR_PROJECT_PLANNING_FLG">'$DB.DATA'!$H$229</definedName>
    <definedName name="DATA_SPONSOR_PROJECT_SELFHELPHSEHLDS_FLG">'$DB.DATA'!$H$235</definedName>
    <definedName name="DATA_SPONSOR_QUALIFYBUYERS_FLG">'$DB.DATA'!$H$238</definedName>
    <definedName name="DATA_SPU_REF_SUBSIDY_PER_UNIT">'$DB.DATA'!$H$336</definedName>
    <definedName name="DATA_TOTAL_UNITS">'$DB.DATA'!$H$179</definedName>
    <definedName name="DATA_UNDERFMV_UNITS_FMT_PCT">'$DB.DATA'!$H$168</definedName>
    <definedName name="DATA_UNDERFMV_UNITS_FMV_AMT">'$DB.DATA'!$H$167</definedName>
    <definedName name="DATA_UNIQUEFIN_TAXCREDIT_HYBRID_FLG">'$DB.DATA'!$H$87</definedName>
    <definedName name="DATA_UNIQUEFIN_UNITS_DSTRIB_FLG">'$DB.DATA'!$H$88</definedName>
    <definedName name="DONATED_UNITS">'$DB.DATA'!$H$155</definedName>
    <definedName name="FEDACQUIRED_UNITS">'$DB.DATA'!$H$160</definedName>
    <definedName name="FULLCONTROL_UNITS">'$DB.DATA'!$H$261</definedName>
    <definedName name="LIMITED_PARTNERSHIP_FLAG">'$DB.DATA'!$H$212</definedName>
    <definedName name="LOOKUP_COMMSTABILITY_CODES">'$DB.LOOKUP'!$AU$3:$AU$7</definedName>
    <definedName name="LOOKUP_CONSTRUCTIONTIMING">'$DB.LOOKUP'!$AC$3:$AC$5</definedName>
    <definedName name="LOOKUP_DEVELOPER_FEE">'$DB.LOOKUP'!$AF$3:$AF$5</definedName>
    <definedName name="LOOKUP_DISBURSEMENTPHASE">'$DB.LOOKUP'!$Z$3:$Z$4</definedName>
    <definedName name="LOOKUP_FHLBANKDISTRICTS">'$DB.LOOKUP'!$T$3:$T$13</definedName>
    <definedName name="LOOKUP_FULLCONTROL_SUPPORTINGDOCS">'$DB.LOOKUP'!$AI$3:$AI$6</definedName>
    <definedName name="LOOKUP_FULLCONTROL_SUPPORTINGDOCS_OWNER">'$DB.LOOKUP'!$BB$3:$BB$6</definedName>
    <definedName name="LOOKUP_GP_ORGTYPE">'$DB.LOOKUP'!$AR$3:$AR$4</definedName>
    <definedName name="LOOKUP_PARTCONTROL_SUPPORTINGDOCS">'$DB.LOOKUP'!$AL$3:$AL$7</definedName>
    <definedName name="LOOKUP_PARTCONTROL_SUPPORTINGDOCS_OWNER">'$DB.LOOKUP'!$BE$3:$BE$7</definedName>
    <definedName name="LOOKUP_PROJECTTYPE_DROPDOWN">'$DB.LOOKUP'!$BH$3:$BH$4</definedName>
    <definedName name="LOOKUP_PROJFAMILYSIZETYPE">'$DB.LOOKUP'!$W$3:$W$4</definedName>
    <definedName name="LOOKUP_SPONSOR_OWNERSHIP_BRACKET">'$DB.LOOKUP'!$AO$3:$AO$5</definedName>
    <definedName name="NONCONFORMING_UNITS">'$DB.DATA'!$H$282</definedName>
    <definedName name="NONPROFIT_ORG_DESCRIPTION">'$DB.LOOKUP'!$M$5</definedName>
    <definedName name="PARTCONTROL_UNITS">'$DB.DATA'!$H$271</definedName>
    <definedName name="_xlnm.Print_Area" localSheetId="3">Configuration!$C$1:$T$26</definedName>
    <definedName name="_xlnm.Print_Area" localSheetId="2">OwnerApp!$A$1:$Y$850</definedName>
    <definedName name="_xlnm.Print_Area" localSheetId="1">RentalApp!$H$1:$Y$959</definedName>
    <definedName name="_xlnm.Print_Area" localSheetId="0">WELCOME!$H$1:$L$12</definedName>
    <definedName name="_xlnm.Print_Titles" localSheetId="3">Configuration!$1:$2</definedName>
    <definedName name="PROJ_STATE">'$DB.DATA'!$H$14</definedName>
    <definedName name="PROJ_STATE_IN_DISTRICT_FLAG">'$DB.DATA'!$H$15</definedName>
    <definedName name="RANGE_LOOKUP_COUNTY_PLACEHOLDER">'$DB.LOOKUP'!$R$3</definedName>
    <definedName name="RANGE_LOOKUP_SPONSTYPE">'$DB.LOOKUP'!$M$3:$M$11</definedName>
    <definedName name="RANGE_LOOKUP_STATE">'$DB.LOOKUP'!$D$3:$D$56</definedName>
    <definedName name="RANGE_LOOKUP_YESNO">'$DB.LOOKUP'!$G$3:$G$4</definedName>
    <definedName name="RANGE_LOOKUP_YESNONA">'$DB.LOOKUP'!$I$3:$I$5</definedName>
    <definedName name="READYLETTER_UNITS">'$DB.DATA'!$H$285</definedName>
    <definedName name="SCATTERED_SITE_ALLINDISTRICT_FLAG">'$DB.DATA'!$H$69</definedName>
    <definedName name="SCATTERED_SITE_DOWNPAYMENT_FLAG">'$DB.DATA'!$H$260</definedName>
    <definedName name="SCATTERED_SITE_FLG">'$DB.DATA'!$H$68</definedName>
    <definedName name="SPONSOR_CERTIFICATION_INDICATOR">'$DB.DATA'!$H$210</definedName>
    <definedName name="TARGET_CONFIG_TOP">Configuration!$C$3</definedName>
    <definedName name="TARGET_OWNER_1_START">OwnerApp!$I$31</definedName>
    <definedName name="TARGET_OWNER_10_START">OwnerApp!$I$321</definedName>
    <definedName name="TARGET_OWNER_11_START">OwnerApp!$Q$373</definedName>
    <definedName name="TARGET_OWNER_12_START">OwnerApp!$W$403</definedName>
    <definedName name="TARGET_OWNER_13_START">OwnerApp!$Q$453</definedName>
    <definedName name="TARGET_OWNER_14_START">OwnerApp!$W$504</definedName>
    <definedName name="TARGET_OWNER_15_START">OwnerApp!$W$575</definedName>
    <definedName name="TARGET_OWNER_16_START">OwnerApp!$T$525</definedName>
    <definedName name="TARGET_OWNER_17_START">OwnerApp!$I$547</definedName>
    <definedName name="TARGET_OWNER_18_START">OwnerApp!$U$493</definedName>
    <definedName name="TARGET_OWNER_19_START">OwnerApp!$H$818</definedName>
    <definedName name="TARGET_OWNER_2_START">OwnerApp!$I$44</definedName>
    <definedName name="TARGET_OWNER_20_START">OwnerApp!$W$753</definedName>
    <definedName name="TARGET_OWNER_21_START">OwnerApp!$H$616</definedName>
    <definedName name="TARGET_OWNER_22_START">OwnerApp!$W$538</definedName>
    <definedName name="TARGET_OWNER_23_START">OwnerApp!$H$824</definedName>
    <definedName name="TARGET_OWNER_24_START">OwnerApp!$H$848</definedName>
    <definedName name="TARGET_OWNER_3_START">OwnerApp!$I$57</definedName>
    <definedName name="TARGET_OWNER_4_START">OwnerApp!$I$71</definedName>
    <definedName name="TARGET_OWNER_5_START">OwnerApp!$W$97</definedName>
    <definedName name="TARGET_OWNER_6_START">OwnerApp!$U$112</definedName>
    <definedName name="TARGET_OWNER_7_START">OwnerApp!$U$211</definedName>
    <definedName name="TARGET_OWNER_8_START">OwnerApp!$W$229</definedName>
    <definedName name="TARGET_OWNER_9_START">OwnerApp!$I$257</definedName>
    <definedName name="TARGET_OWNER_PROJ_DESCRIPTION">OwnerApp!$I$162</definedName>
    <definedName name="TARGET_OWNER_TOP">OwnerApp!$H$5</definedName>
    <definedName name="TARGET_RENTAL_1_START">RentalApp!$I$30</definedName>
    <definedName name="TARGET_RENTAL_10_START">RentalApp!$I$370</definedName>
    <definedName name="TARGET_RENTAL_11_START">RentalApp!$I$483</definedName>
    <definedName name="TARGET_RENTAL_12_START">RentalApp!$W$515</definedName>
    <definedName name="TARGET_RENTAL_13_START">RentalApp!$Q$566</definedName>
    <definedName name="TARGET_RENTAL_14_START">RentalApp!$W$612</definedName>
    <definedName name="TARGET_RENTAL_15_START">RentalApp!$W$684</definedName>
    <definedName name="TARGET_RENTAL_16_START">RentalApp!$T$634</definedName>
    <definedName name="TARGET_RENTAL_17_START">RentalApp!$I$656</definedName>
    <definedName name="TARGET_RENTAL_18_START">RentalApp!$H$927</definedName>
    <definedName name="TARGET_RENTAL_19_START">RentalApp!$I$862</definedName>
    <definedName name="TARGET_RENTAL_2_START">RentalApp!$I$42</definedName>
    <definedName name="TARGET_RENTAL_20_START">RentalApp!$H$716</definedName>
    <definedName name="TARGET_RENTAL_21_START">RentalApp!$W$647</definedName>
    <definedName name="TARGET_RENTAL_22_START">RentalApp!$H$934</definedName>
    <definedName name="TARGET_RENTAL_23_START">RentalApp!$H$957</definedName>
    <definedName name="TARGET_RENTAL_3_START">RentalApp!$I$55</definedName>
    <definedName name="TARGET_RENTAL_4_START">RentalApp!$I$69</definedName>
    <definedName name="TARGET_RENTAL_5_START">RentalApp!$W$95</definedName>
    <definedName name="TARGET_RENTAL_6_START">RentalApp!$U$110</definedName>
    <definedName name="TARGET_RENTAL_7_START">RentalApp!$U$245</definedName>
    <definedName name="TARGET_RENTAL_8_START">RentalApp!$W$261</definedName>
    <definedName name="TARGET_RENTAL_9_START">RentalApp!$I$296</definedName>
    <definedName name="TARGET_RENTAL_PROJ_DESCRIPTION">RentalApp!$I$204</definedName>
    <definedName name="TARGET_RENTAL_TOP">RentalApp!$H$5</definedName>
    <definedName name="TARGET_WELCOME_TOP">WELCOME!$H$1</definedName>
    <definedName name="UNDERFMV_UNITS">'$DB.DATA'!$H$165</definedName>
    <definedName name="UNIQUEFIN_DATA_REQ_FLAG">'$DB.DATA'!$F$89</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836" i="15" l="1"/>
  <c r="U837" i="15"/>
  <c r="U838" i="15"/>
  <c r="U839" i="15"/>
  <c r="U840" i="15"/>
  <c r="U841" i="15"/>
  <c r="U842" i="15"/>
  <c r="U843" i="15"/>
  <c r="U844" i="15"/>
  <c r="U845" i="15"/>
  <c r="U846" i="15"/>
  <c r="U847" i="15"/>
  <c r="U835" i="15"/>
  <c r="I835" i="15"/>
  <c r="B461" i="15"/>
  <c r="B445" i="15"/>
  <c r="B428" i="15"/>
  <c r="B257" i="15"/>
  <c r="B580" i="15"/>
  <c r="B564" i="15" s="1"/>
  <c r="B562" i="15"/>
  <c r="B548" i="15" s="1"/>
  <c r="B546" i="15"/>
  <c r="B520" i="15" s="1"/>
  <c r="B518" i="15"/>
  <c r="B477" i="15" s="1"/>
  <c r="B475" i="15"/>
  <c r="B459" i="15"/>
  <c r="B443" i="15"/>
  <c r="B426" i="15"/>
  <c r="B407" i="15" s="1"/>
  <c r="B405" i="15"/>
  <c r="B385" i="15" s="1"/>
  <c r="B383" i="15"/>
  <c r="B366" i="15" s="1"/>
  <c r="B364" i="15"/>
  <c r="B339" i="15" s="1"/>
  <c r="B337" i="15"/>
  <c r="B299" i="15" s="1"/>
  <c r="B297" i="15"/>
  <c r="I945" i="13"/>
  <c r="U945" i="13"/>
  <c r="AC13" i="13"/>
  <c r="U946" i="13"/>
  <c r="U947" i="13"/>
  <c r="U948" i="13"/>
  <c r="U949" i="13"/>
  <c r="U950" i="13"/>
  <c r="U951" i="13"/>
  <c r="U952" i="13"/>
  <c r="U953" i="13"/>
  <c r="U954" i="13"/>
  <c r="U955" i="13"/>
  <c r="U956" i="13"/>
  <c r="B584" i="13"/>
  <c r="B568" i="13" s="1"/>
  <c r="B566" i="13"/>
  <c r="B552" i="13" s="1"/>
  <c r="B550" i="13"/>
  <c r="B524" i="13" s="1"/>
  <c r="B522" i="13"/>
  <c r="B483" i="13" s="1"/>
  <c r="B481" i="13"/>
  <c r="B467" i="13" s="1"/>
  <c r="B465" i="13"/>
  <c r="B450" i="13" s="1"/>
  <c r="B448" i="13"/>
  <c r="B429" i="13" s="1"/>
  <c r="B427" i="13"/>
  <c r="B408" i="13" s="1"/>
  <c r="B406" i="13"/>
  <c r="B391" i="13" s="1"/>
  <c r="B389" i="13"/>
  <c r="B349" i="13" s="1"/>
  <c r="B347" i="13"/>
  <c r="B309" i="13" s="1"/>
  <c r="B307" i="13"/>
  <c r="B264" i="13" s="1"/>
  <c r="I836" i="15" l="1"/>
  <c r="I837" i="15"/>
  <c r="I838" i="15"/>
  <c r="I839" i="15"/>
  <c r="I840" i="15"/>
  <c r="I841" i="15"/>
  <c r="I842" i="15"/>
  <c r="I843" i="15"/>
  <c r="I844" i="15"/>
  <c r="I845" i="15"/>
  <c r="I846" i="15"/>
  <c r="I847" i="15"/>
  <c r="B592" i="15"/>
  <c r="B583" i="15"/>
  <c r="B582" i="15"/>
  <c r="I830" i="15" s="1"/>
  <c r="G582" i="15"/>
  <c r="B586" i="13"/>
  <c r="I940" i="13" s="1"/>
  <c r="I956" i="13"/>
  <c r="I955" i="13"/>
  <c r="I954" i="13"/>
  <c r="I953" i="13"/>
  <c r="I952" i="13"/>
  <c r="I951" i="13"/>
  <c r="I950" i="13"/>
  <c r="I949" i="13"/>
  <c r="I948" i="13"/>
  <c r="I947" i="13"/>
  <c r="I946" i="13"/>
  <c r="B596" i="13"/>
  <c r="B587" i="13"/>
  <c r="B577" i="15" l="1"/>
  <c r="D566" i="15"/>
  <c r="E566" i="15"/>
  <c r="F566" i="15"/>
  <c r="D567" i="15"/>
  <c r="E567" i="15"/>
  <c r="F567" i="15"/>
  <c r="B568" i="15"/>
  <c r="F565" i="15"/>
  <c r="E565" i="15"/>
  <c r="G564" i="15"/>
  <c r="AC24" i="13"/>
  <c r="G552" i="13"/>
  <c r="G568" i="13"/>
  <c r="B581" i="13"/>
  <c r="V24" i="13" s="1"/>
  <c r="B572" i="13"/>
  <c r="D570" i="13"/>
  <c r="E570" i="13"/>
  <c r="F570" i="13"/>
  <c r="D571" i="13"/>
  <c r="E571" i="13"/>
  <c r="F571" i="13"/>
  <c r="F569" i="13"/>
  <c r="E569" i="13"/>
  <c r="D569" i="13"/>
  <c r="Q336" i="4"/>
  <c r="Q335" i="4"/>
  <c r="Q334" i="4"/>
  <c r="Q333" i="4" l="1"/>
  <c r="W329" i="4" l="1"/>
  <c r="L329" i="4" s="1"/>
  <c r="Q329" i="4"/>
  <c r="W328" i="4"/>
  <c r="L328" i="4" s="1"/>
  <c r="Q328" i="4"/>
  <c r="Q310" i="4"/>
  <c r="Q308" i="4" l="1"/>
  <c r="W308" i="4"/>
  <c r="L308" i="4" s="1"/>
  <c r="Q309" i="4"/>
  <c r="W309" i="4"/>
  <c r="L309" i="4" s="1"/>
  <c r="Q311" i="4"/>
  <c r="W311" i="4"/>
  <c r="L311" i="4" s="1"/>
  <c r="Q312" i="4"/>
  <c r="W312" i="4"/>
  <c r="L312" i="4" s="1"/>
  <c r="Q313" i="4"/>
  <c r="W313" i="4"/>
  <c r="L313" i="4" s="1"/>
  <c r="Q314" i="4"/>
  <c r="W314" i="4"/>
  <c r="L314" i="4" s="1"/>
  <c r="Q315" i="4"/>
  <c r="W315" i="4"/>
  <c r="L315" i="4" s="1"/>
  <c r="Q316" i="4"/>
  <c r="W316" i="4"/>
  <c r="L316" i="4" s="1"/>
  <c r="Q317" i="4"/>
  <c r="W317" i="4"/>
  <c r="L317" i="4" s="1"/>
  <c r="Q318" i="4"/>
  <c r="W318" i="4"/>
  <c r="L318" i="4" s="1"/>
  <c r="Q319" i="4"/>
  <c r="W319" i="4"/>
  <c r="L319" i="4" s="1"/>
  <c r="Q320" i="4"/>
  <c r="W320" i="4"/>
  <c r="L320" i="4" s="1"/>
  <c r="Q321" i="4"/>
  <c r="W321" i="4"/>
  <c r="L321" i="4" s="1"/>
  <c r="Q322" i="4"/>
  <c r="W322" i="4"/>
  <c r="L322" i="4" s="1"/>
  <c r="Q323" i="4"/>
  <c r="W323" i="4"/>
  <c r="L323" i="4" s="1"/>
  <c r="Q324" i="4"/>
  <c r="W324" i="4"/>
  <c r="L324" i="4" s="1"/>
  <c r="Q325" i="4"/>
  <c r="W325" i="4"/>
  <c r="L325" i="4" s="1"/>
  <c r="Q326" i="4"/>
  <c r="W326" i="4"/>
  <c r="L326" i="4" s="1"/>
  <c r="Q327" i="4"/>
  <c r="W327" i="4"/>
  <c r="L327" i="4" s="1"/>
  <c r="Q330" i="4"/>
  <c r="W330" i="4"/>
  <c r="L330" i="4" s="1"/>
  <c r="Q331" i="4"/>
  <c r="W331" i="4"/>
  <c r="L331" i="4" s="1"/>
  <c r="Q332" i="4"/>
  <c r="W332" i="4"/>
  <c r="L332" i="4" s="1"/>
  <c r="V25" i="15" l="1"/>
  <c r="AC14" i="15"/>
  <c r="AC15" i="15"/>
  <c r="AC16" i="15"/>
  <c r="AC17" i="15"/>
  <c r="AC18" i="15"/>
  <c r="AC19" i="15"/>
  <c r="AC20" i="15"/>
  <c r="AC21" i="15"/>
  <c r="AC22" i="15"/>
  <c r="AC23" i="15"/>
  <c r="AC24" i="15"/>
  <c r="AC25" i="15"/>
  <c r="AC13" i="15"/>
  <c r="B549" i="15"/>
  <c r="B501" i="15"/>
  <c r="G548" i="15" l="1"/>
  <c r="B559" i="15"/>
  <c r="V19" i="15" s="1"/>
  <c r="B550" i="15"/>
  <c r="F549" i="15"/>
  <c r="E549" i="15"/>
  <c r="AC14" i="13"/>
  <c r="AC15" i="13"/>
  <c r="AC16" i="13"/>
  <c r="AC17" i="13"/>
  <c r="AC18" i="13"/>
  <c r="AC19" i="13"/>
  <c r="AC20" i="13"/>
  <c r="AC21" i="13"/>
  <c r="AC22" i="13"/>
  <c r="AC23" i="13"/>
  <c r="B553" i="13"/>
  <c r="B506" i="13"/>
  <c r="B554" i="13"/>
  <c r="B563" i="13"/>
  <c r="V18" i="13" s="1"/>
  <c r="F553" i="13"/>
  <c r="E553" i="13"/>
  <c r="Q307" i="4"/>
  <c r="R307" i="4"/>
  <c r="B217" i="15" l="1"/>
  <c r="B216" i="15"/>
  <c r="B195" i="15"/>
  <c r="E216" i="15"/>
  <c r="F216" i="15"/>
  <c r="D217" i="15"/>
  <c r="E217" i="15"/>
  <c r="F217" i="15"/>
  <c r="B222" i="13"/>
  <c r="B221" i="13"/>
  <c r="B202" i="13"/>
  <c r="E221" i="13"/>
  <c r="F221" i="13"/>
  <c r="D222" i="13"/>
  <c r="E222" i="13"/>
  <c r="F222" i="13"/>
  <c r="Q134" i="4"/>
  <c r="Q135" i="4"/>
  <c r="B160" i="13" l="1"/>
  <c r="B159" i="13"/>
  <c r="B158" i="13"/>
  <c r="D159" i="13"/>
  <c r="E159" i="13"/>
  <c r="F159" i="13"/>
  <c r="D160" i="13"/>
  <c r="E160" i="13"/>
  <c r="F160" i="13"/>
  <c r="Q98" i="4"/>
  <c r="Q99" i="4"/>
  <c r="B157" i="13"/>
  <c r="B156" i="13"/>
  <c r="D157" i="13"/>
  <c r="E157" i="13"/>
  <c r="F157" i="13"/>
  <c r="Q96" i="4"/>
  <c r="H705" i="15"/>
  <c r="H701" i="15"/>
  <c r="H807" i="13"/>
  <c r="H803" i="13"/>
  <c r="H634" i="15"/>
  <c r="H630" i="15"/>
  <c r="H730" i="13" l="1"/>
  <c r="H734" i="13"/>
  <c r="B410" i="13"/>
  <c r="B500" i="15" l="1"/>
  <c r="B499" i="15"/>
  <c r="B505" i="13"/>
  <c r="B504" i="13"/>
  <c r="B148" i="15" l="1"/>
  <c r="B147" i="15"/>
  <c r="B146" i="15"/>
  <c r="B145" i="15"/>
  <c r="B144" i="15"/>
  <c r="B142" i="15"/>
  <c r="D144" i="15"/>
  <c r="E144" i="15"/>
  <c r="F144" i="15"/>
  <c r="D145" i="15"/>
  <c r="E145" i="15"/>
  <c r="F145" i="15"/>
  <c r="D146" i="15"/>
  <c r="E146" i="15"/>
  <c r="F146" i="15"/>
  <c r="D147" i="15"/>
  <c r="E147" i="15"/>
  <c r="F147" i="15"/>
  <c r="D148" i="15"/>
  <c r="E148" i="15"/>
  <c r="B126" i="15"/>
  <c r="B147" i="13"/>
  <c r="B146" i="13"/>
  <c r="B145" i="13"/>
  <c r="B144" i="13"/>
  <c r="B143" i="13"/>
  <c r="B141" i="13"/>
  <c r="D143" i="13"/>
  <c r="E143" i="13"/>
  <c r="F143" i="13"/>
  <c r="D144" i="13"/>
  <c r="E144" i="13"/>
  <c r="F144" i="13"/>
  <c r="D145" i="13"/>
  <c r="E145" i="13"/>
  <c r="F145" i="13"/>
  <c r="D146" i="13"/>
  <c r="E146" i="13"/>
  <c r="F146" i="13"/>
  <c r="D147" i="13"/>
  <c r="E147" i="13"/>
  <c r="Q82" i="4"/>
  <c r="Q83" i="4"/>
  <c r="Q84" i="4"/>
  <c r="Q85" i="4"/>
  <c r="Q86" i="4"/>
  <c r="R86" i="4"/>
  <c r="B369" i="13" l="1"/>
  <c r="B359" i="13"/>
  <c r="B363" i="13"/>
  <c r="B367" i="13"/>
  <c r="B529" i="15" l="1"/>
  <c r="B527" i="15"/>
  <c r="B525" i="15"/>
  <c r="D525" i="15"/>
  <c r="E525" i="15"/>
  <c r="D526" i="15"/>
  <c r="E526" i="15"/>
  <c r="F526" i="15"/>
  <c r="D527" i="15"/>
  <c r="E527" i="15"/>
  <c r="D528" i="15"/>
  <c r="E528" i="15"/>
  <c r="F528" i="15"/>
  <c r="D529" i="15"/>
  <c r="E529" i="15"/>
  <c r="B533" i="13"/>
  <c r="B531" i="13"/>
  <c r="B529" i="13"/>
  <c r="E533" i="13"/>
  <c r="D533" i="13"/>
  <c r="F532" i="13"/>
  <c r="E532" i="13"/>
  <c r="D532" i="13"/>
  <c r="E531" i="13"/>
  <c r="D531" i="13"/>
  <c r="F530" i="13"/>
  <c r="E530" i="13"/>
  <c r="D530" i="13"/>
  <c r="E529" i="13"/>
  <c r="D529" i="13"/>
  <c r="B528" i="13"/>
  <c r="B530" i="13"/>
  <c r="Q301" i="4" l="1"/>
  <c r="R301" i="4"/>
  <c r="Q298" i="4"/>
  <c r="R298" i="4"/>
  <c r="Q296" i="4"/>
  <c r="R296" i="4"/>
  <c r="B153" i="13"/>
  <c r="B152" i="13"/>
  <c r="B151" i="13"/>
  <c r="B150" i="13"/>
  <c r="B149" i="13"/>
  <c r="B148" i="13"/>
  <c r="D148" i="13"/>
  <c r="E148" i="13"/>
  <c r="F148" i="13"/>
  <c r="D149" i="13"/>
  <c r="E149" i="13"/>
  <c r="F149" i="13"/>
  <c r="D150" i="13"/>
  <c r="E150" i="13"/>
  <c r="F150" i="13"/>
  <c r="D151" i="13"/>
  <c r="E151" i="13"/>
  <c r="F151" i="13"/>
  <c r="D152" i="13"/>
  <c r="E152" i="13"/>
  <c r="F152" i="13"/>
  <c r="D153" i="13"/>
  <c r="E153" i="13"/>
  <c r="Q87" i="4"/>
  <c r="Q88" i="4"/>
  <c r="Q89" i="4"/>
  <c r="Q90" i="4"/>
  <c r="Q91" i="4"/>
  <c r="Q92" i="4"/>
  <c r="R92" i="4"/>
  <c r="B173" i="15" l="1"/>
  <c r="B172" i="15"/>
  <c r="D172" i="15"/>
  <c r="E172" i="15"/>
  <c r="F172" i="15"/>
  <c r="E173" i="15"/>
  <c r="F173" i="15"/>
  <c r="D174" i="15"/>
  <c r="B179" i="13"/>
  <c r="B178" i="13"/>
  <c r="D178" i="13"/>
  <c r="E178" i="13"/>
  <c r="F178" i="13"/>
  <c r="E179" i="13"/>
  <c r="F179" i="13"/>
  <c r="B184" i="13"/>
  <c r="Q108" i="4"/>
  <c r="Q109" i="4"/>
  <c r="R108" i="4"/>
  <c r="R109" i="4"/>
  <c r="B533" i="15" l="1"/>
  <c r="D533" i="15"/>
  <c r="E533" i="15"/>
  <c r="B537" i="13"/>
  <c r="B503" i="13"/>
  <c r="D537" i="13"/>
  <c r="E537" i="13"/>
  <c r="Q306" i="4"/>
  <c r="R306" i="4"/>
  <c r="F283" i="15" l="1"/>
  <c r="E283" i="15"/>
  <c r="F291" i="13" l="1"/>
  <c r="E291" i="13"/>
  <c r="Q205" i="4"/>
  <c r="H648" i="15" l="1"/>
  <c r="H645" i="15"/>
  <c r="H642" i="15"/>
  <c r="H748" i="13"/>
  <c r="H745" i="13"/>
  <c r="B375" i="13" l="1"/>
  <c r="B374" i="13"/>
  <c r="B373" i="13"/>
  <c r="B372" i="13"/>
  <c r="B371" i="13"/>
  <c r="B472" i="15"/>
  <c r="V24" i="15" s="1"/>
  <c r="B463" i="15"/>
  <c r="F462" i="15"/>
  <c r="E462" i="15"/>
  <c r="D462" i="15"/>
  <c r="G461" i="15"/>
  <c r="B534" i="15"/>
  <c r="G467" i="13"/>
  <c r="B478" i="13"/>
  <c r="V23" i="13" s="1"/>
  <c r="B469" i="13"/>
  <c r="F468" i="13"/>
  <c r="E468" i="13"/>
  <c r="D468" i="13"/>
  <c r="Q259" i="4"/>
  <c r="B131" i="15"/>
  <c r="D131" i="15"/>
  <c r="E131" i="15"/>
  <c r="F131" i="15"/>
  <c r="D130" i="13"/>
  <c r="E130" i="13"/>
  <c r="F130" i="13"/>
  <c r="B130" i="13"/>
  <c r="B129" i="13"/>
  <c r="Q15" i="4"/>
  <c r="Q69" i="4"/>
  <c r="B238" i="15" l="1"/>
  <c r="B237" i="15"/>
  <c r="B218" i="15"/>
  <c r="B219" i="15"/>
  <c r="B225" i="13"/>
  <c r="B252" i="13"/>
  <c r="B251" i="13"/>
  <c r="B244" i="13"/>
  <c r="B245" i="13"/>
  <c r="E252" i="13"/>
  <c r="D252" i="13"/>
  <c r="E251" i="13"/>
  <c r="D251" i="13"/>
  <c r="E245" i="13"/>
  <c r="D245" i="13"/>
  <c r="E244" i="13"/>
  <c r="D244" i="13"/>
  <c r="B226" i="13"/>
  <c r="E226" i="13"/>
  <c r="D226" i="13"/>
  <c r="E225" i="13"/>
  <c r="D225" i="13"/>
  <c r="D19" i="3" l="1"/>
  <c r="V64" i="4" s="1"/>
  <c r="D18" i="3"/>
  <c r="V104" i="4" s="1"/>
  <c r="D17" i="3"/>
  <c r="V140" i="4" s="1"/>
  <c r="D16" i="3"/>
  <c r="V86" i="4" s="1"/>
  <c r="F147" i="13" l="1"/>
  <c r="W149" i="13" s="1"/>
  <c r="F148" i="15"/>
  <c r="W142" i="15" s="1"/>
  <c r="V298" i="4"/>
  <c r="V301" i="4"/>
  <c r="V296" i="4"/>
  <c r="V92" i="4"/>
  <c r="F153" i="13" s="1"/>
  <c r="W174" i="13" s="1"/>
  <c r="V131" i="4"/>
  <c r="V306" i="4"/>
  <c r="V143" i="4"/>
  <c r="V137" i="4"/>
  <c r="V147" i="4"/>
  <c r="V144" i="4"/>
  <c r="V150" i="4"/>
  <c r="V145" i="4"/>
  <c r="F244" i="13" s="1"/>
  <c r="V153" i="4"/>
  <c r="F252" i="13" s="1"/>
  <c r="V151" i="4"/>
  <c r="V136" i="4"/>
  <c r="V154" i="4"/>
  <c r="V152" i="4"/>
  <c r="F251" i="13" s="1"/>
  <c r="V138" i="4"/>
  <c r="F225" i="13" s="1"/>
  <c r="V139" i="4"/>
  <c r="F226" i="13" s="1"/>
  <c r="V103" i="4"/>
  <c r="V241" i="4"/>
  <c r="V146" i="4"/>
  <c r="F245" i="13" s="1"/>
  <c r="V278" i="4"/>
  <c r="V280" i="4"/>
  <c r="V270" i="4"/>
  <c r="V79" i="4"/>
  <c r="V100" i="4"/>
  <c r="V268" i="4"/>
  <c r="V70" i="4"/>
  <c r="V102" i="4"/>
  <c r="F152" i="15" s="1"/>
  <c r="V122" i="4"/>
  <c r="B152" i="15"/>
  <c r="B151" i="15"/>
  <c r="E152" i="15"/>
  <c r="D152" i="15"/>
  <c r="F151" i="15"/>
  <c r="E151" i="15"/>
  <c r="D151" i="15"/>
  <c r="Q101" i="4"/>
  <c r="Q102" i="4"/>
  <c r="R102" i="4"/>
  <c r="B26" i="15"/>
  <c r="F26" i="15"/>
  <c r="E26" i="15"/>
  <c r="D26" i="15"/>
  <c r="B26" i="13"/>
  <c r="F26" i="13"/>
  <c r="E26" i="13"/>
  <c r="D26" i="13"/>
  <c r="B27" i="13"/>
  <c r="Q19" i="4"/>
  <c r="R19" i="4"/>
  <c r="F529" i="13" l="1"/>
  <c r="W763" i="13" s="1"/>
  <c r="F525" i="15"/>
  <c r="W662" i="15" s="1"/>
  <c r="F529" i="15"/>
  <c r="W707" i="15" s="1"/>
  <c r="F533" i="13"/>
  <c r="W809" i="13" s="1"/>
  <c r="F527" i="15"/>
  <c r="W681" i="15" s="1"/>
  <c r="F531" i="13"/>
  <c r="W783" i="13" s="1"/>
  <c r="F533" i="15"/>
  <c r="W731" i="15" s="1"/>
  <c r="F537" i="13"/>
  <c r="W833" i="13" s="1"/>
  <c r="W153" i="15"/>
  <c r="B183" i="13"/>
  <c r="D15" i="3"/>
  <c r="R9" i="15"/>
  <c r="N9" i="15"/>
  <c r="J9" i="15"/>
  <c r="B289" i="13"/>
  <c r="B290" i="13"/>
  <c r="D289" i="13"/>
  <c r="E289" i="13"/>
  <c r="F289" i="13"/>
  <c r="D290" i="13"/>
  <c r="E290" i="13"/>
  <c r="F290" i="13"/>
  <c r="D277" i="13"/>
  <c r="E277" i="13"/>
  <c r="F277" i="13"/>
  <c r="D278" i="13"/>
  <c r="E278" i="13"/>
  <c r="F278" i="13"/>
  <c r="B278" i="13"/>
  <c r="B277" i="13"/>
  <c r="B341" i="15"/>
  <c r="B219" i="13"/>
  <c r="B281" i="15"/>
  <c r="D281" i="15"/>
  <c r="E281" i="15"/>
  <c r="F281" i="15"/>
  <c r="B282" i="15"/>
  <c r="D282" i="15"/>
  <c r="E282" i="15"/>
  <c r="F282" i="15"/>
  <c r="B269" i="15"/>
  <c r="D269" i="15"/>
  <c r="E269" i="15"/>
  <c r="F269" i="15"/>
  <c r="B270" i="15"/>
  <c r="D270" i="15"/>
  <c r="E270" i="15"/>
  <c r="F270" i="15"/>
  <c r="Q203" i="4"/>
  <c r="Q204" i="4"/>
  <c r="R203" i="4"/>
  <c r="R204" i="4"/>
  <c r="Q191" i="4"/>
  <c r="Q192" i="4"/>
  <c r="R191" i="4"/>
  <c r="R192" i="4"/>
  <c r="D259" i="15"/>
  <c r="E259" i="15"/>
  <c r="F259" i="15"/>
  <c r="D260" i="15"/>
  <c r="E260" i="15"/>
  <c r="F260" i="15"/>
  <c r="D261" i="15"/>
  <c r="E261" i="15"/>
  <c r="F261" i="15"/>
  <c r="D262" i="15"/>
  <c r="E262" i="15"/>
  <c r="F262" i="15"/>
  <c r="D263" i="15"/>
  <c r="E263" i="15"/>
  <c r="F263" i="15"/>
  <c r="D264" i="15"/>
  <c r="E264" i="15"/>
  <c r="F264" i="15"/>
  <c r="D265" i="15"/>
  <c r="E265" i="15"/>
  <c r="F265" i="15"/>
  <c r="D266" i="15"/>
  <c r="E266" i="15"/>
  <c r="F266" i="15"/>
  <c r="D267" i="15"/>
  <c r="E267" i="15"/>
  <c r="F267" i="15"/>
  <c r="D268" i="15"/>
  <c r="E268" i="15"/>
  <c r="F268" i="15"/>
  <c r="D271" i="15"/>
  <c r="E271" i="15"/>
  <c r="F271" i="15"/>
  <c r="D272" i="15"/>
  <c r="E272" i="15"/>
  <c r="F272" i="15"/>
  <c r="D273" i="15"/>
  <c r="E273" i="15"/>
  <c r="F273" i="15"/>
  <c r="D274" i="15"/>
  <c r="E274" i="15"/>
  <c r="F274" i="15"/>
  <c r="D275" i="15"/>
  <c r="E275" i="15"/>
  <c r="F275" i="15"/>
  <c r="D276" i="15"/>
  <c r="E276" i="15"/>
  <c r="F276" i="15"/>
  <c r="D277" i="15"/>
  <c r="E277" i="15"/>
  <c r="F277" i="15"/>
  <c r="D278" i="15"/>
  <c r="E278" i="15"/>
  <c r="F278" i="15"/>
  <c r="D279" i="15"/>
  <c r="E279" i="15"/>
  <c r="F279" i="15"/>
  <c r="D280" i="15"/>
  <c r="E280" i="15"/>
  <c r="F280" i="15"/>
  <c r="B272" i="15"/>
  <c r="B273" i="15"/>
  <c r="B274" i="15"/>
  <c r="B275" i="15"/>
  <c r="B276" i="15"/>
  <c r="B277" i="15"/>
  <c r="B278" i="15"/>
  <c r="B279" i="15"/>
  <c r="B280" i="15"/>
  <c r="B271" i="15"/>
  <c r="B260" i="15"/>
  <c r="B261" i="15"/>
  <c r="B262" i="15"/>
  <c r="B263" i="15"/>
  <c r="B264" i="15"/>
  <c r="B265" i="15"/>
  <c r="B266" i="15"/>
  <c r="B267" i="15"/>
  <c r="B268" i="15"/>
  <c r="B259" i="15"/>
  <c r="B346" i="15"/>
  <c r="B345" i="15"/>
  <c r="B357" i="13"/>
  <c r="B361" i="13"/>
  <c r="F357" i="13"/>
  <c r="E357" i="13"/>
  <c r="D357" i="13"/>
  <c r="Q215" i="4"/>
  <c r="R215" i="4"/>
  <c r="B351" i="13"/>
  <c r="B14" i="11" l="1"/>
  <c r="I11" i="11"/>
  <c r="I294" i="13"/>
  <c r="I255" i="15"/>
  <c r="B78" i="13"/>
  <c r="B78" i="15"/>
  <c r="B505" i="15"/>
  <c r="B478" i="15"/>
  <c r="E505" i="15"/>
  <c r="F505" i="15"/>
  <c r="F478" i="15"/>
  <c r="E478" i="15"/>
  <c r="D478" i="15"/>
  <c r="B388" i="15"/>
  <c r="D388" i="15"/>
  <c r="E388" i="15"/>
  <c r="F388" i="15"/>
  <c r="B343" i="15"/>
  <c r="B351" i="15"/>
  <c r="B376" i="13"/>
  <c r="B350" i="15"/>
  <c r="B349" i="15"/>
  <c r="B348" i="15"/>
  <c r="B347" i="15"/>
  <c r="D348" i="15"/>
  <c r="E348" i="15"/>
  <c r="F348" i="15"/>
  <c r="D349" i="15"/>
  <c r="E349" i="15"/>
  <c r="F349" i="15"/>
  <c r="D350" i="15"/>
  <c r="E350" i="15"/>
  <c r="F350" i="15"/>
  <c r="B178" i="15"/>
  <c r="F178" i="15"/>
  <c r="E178" i="15"/>
  <c r="D178" i="15"/>
  <c r="B129" i="15"/>
  <c r="F129" i="15"/>
  <c r="E129" i="15"/>
  <c r="D129" i="15"/>
  <c r="B446" i="15"/>
  <c r="G445" i="15"/>
  <c r="B456" i="15"/>
  <c r="V16" i="15" s="1"/>
  <c r="B447" i="15"/>
  <c r="F446" i="15"/>
  <c r="E446" i="15"/>
  <c r="H746" i="15"/>
  <c r="H735" i="15"/>
  <c r="H730" i="15"/>
  <c r="H719" i="15"/>
  <c r="H715" i="15"/>
  <c r="H697" i="15"/>
  <c r="H693" i="15"/>
  <c r="H689" i="15"/>
  <c r="H639" i="15"/>
  <c r="H625" i="15"/>
  <c r="H621" i="15"/>
  <c r="H617" i="15"/>
  <c r="B543" i="15"/>
  <c r="V22" i="15" s="1"/>
  <c r="F532" i="15"/>
  <c r="E532" i="15"/>
  <c r="D532" i="15"/>
  <c r="F531" i="15"/>
  <c r="E531" i="15"/>
  <c r="D531" i="15"/>
  <c r="F530" i="15"/>
  <c r="E530" i="15"/>
  <c r="D530" i="15"/>
  <c r="B526" i="15"/>
  <c r="F524" i="15"/>
  <c r="E524" i="15"/>
  <c r="D524" i="15"/>
  <c r="B524" i="15"/>
  <c r="F523" i="15"/>
  <c r="E523" i="15"/>
  <c r="D523" i="15"/>
  <c r="F521" i="15"/>
  <c r="E521" i="15"/>
  <c r="D521" i="15"/>
  <c r="G520" i="15"/>
  <c r="B515" i="15"/>
  <c r="V23" i="15" s="1"/>
  <c r="B506" i="15"/>
  <c r="F504" i="15"/>
  <c r="E504" i="15"/>
  <c r="D504" i="15"/>
  <c r="B504" i="15"/>
  <c r="F503" i="15"/>
  <c r="E503" i="15"/>
  <c r="B503" i="15"/>
  <c r="F502" i="15"/>
  <c r="E502" i="15"/>
  <c r="D502" i="15"/>
  <c r="B502" i="15"/>
  <c r="F501" i="15"/>
  <c r="E501" i="15"/>
  <c r="F500" i="15"/>
  <c r="E500" i="15"/>
  <c r="F499" i="15"/>
  <c r="E499" i="15"/>
  <c r="F496" i="15"/>
  <c r="E496" i="15"/>
  <c r="D496" i="15"/>
  <c r="B496" i="15"/>
  <c r="F495" i="15"/>
  <c r="E495" i="15"/>
  <c r="D495" i="15"/>
  <c r="B495" i="15"/>
  <c r="F494" i="15"/>
  <c r="E494" i="15"/>
  <c r="D494" i="15"/>
  <c r="B494" i="15"/>
  <c r="F493" i="15"/>
  <c r="E493" i="15"/>
  <c r="D493" i="15"/>
  <c r="B493" i="15"/>
  <c r="F492" i="15"/>
  <c r="E492" i="15"/>
  <c r="D492" i="15"/>
  <c r="B492" i="15"/>
  <c r="F491" i="15"/>
  <c r="E491" i="15"/>
  <c r="D491" i="15"/>
  <c r="B491" i="15"/>
  <c r="F490" i="15"/>
  <c r="E490" i="15"/>
  <c r="D490" i="15"/>
  <c r="B490" i="15"/>
  <c r="F489" i="15"/>
  <c r="E489" i="15"/>
  <c r="B489" i="15"/>
  <c r="F486" i="15"/>
  <c r="E486" i="15"/>
  <c r="D486" i="15"/>
  <c r="B486" i="15"/>
  <c r="F485" i="15"/>
  <c r="E485" i="15"/>
  <c r="D485" i="15"/>
  <c r="B485" i="15"/>
  <c r="F484" i="15"/>
  <c r="E484" i="15"/>
  <c r="D484" i="15"/>
  <c r="B484" i="15"/>
  <c r="F483" i="15"/>
  <c r="E483" i="15"/>
  <c r="D483" i="15"/>
  <c r="B483" i="15"/>
  <c r="F482" i="15"/>
  <c r="E482" i="15"/>
  <c r="D482" i="15"/>
  <c r="B482" i="15"/>
  <c r="F481" i="15"/>
  <c r="E481" i="15"/>
  <c r="D481" i="15"/>
  <c r="B481" i="15"/>
  <c r="F480" i="15"/>
  <c r="E480" i="15"/>
  <c r="D480" i="15"/>
  <c r="B480" i="15"/>
  <c r="F479" i="15"/>
  <c r="E479" i="15"/>
  <c r="B479" i="15"/>
  <c r="G477" i="15"/>
  <c r="B440" i="15"/>
  <c r="V20" i="15" s="1"/>
  <c r="B431" i="15"/>
  <c r="F430" i="15"/>
  <c r="E430" i="15"/>
  <c r="D430" i="15"/>
  <c r="B430" i="15"/>
  <c r="F429" i="15"/>
  <c r="E429" i="15"/>
  <c r="B429" i="15"/>
  <c r="G428" i="15"/>
  <c r="B423" i="15"/>
  <c r="V18" i="15" s="1"/>
  <c r="B414" i="15"/>
  <c r="F413" i="15"/>
  <c r="E413" i="15"/>
  <c r="F412" i="15"/>
  <c r="E412" i="15"/>
  <c r="B412" i="15"/>
  <c r="F411" i="15"/>
  <c r="E411" i="15"/>
  <c r="B411" i="15"/>
  <c r="F410" i="15"/>
  <c r="E410" i="15"/>
  <c r="B410" i="15"/>
  <c r="F409" i="15"/>
  <c r="E409" i="15"/>
  <c r="B409" i="15"/>
  <c r="F408" i="15"/>
  <c r="E408" i="15"/>
  <c r="B408" i="15"/>
  <c r="G407" i="15"/>
  <c r="B402" i="15"/>
  <c r="V21" i="15" s="1"/>
  <c r="B393" i="15"/>
  <c r="F392" i="15"/>
  <c r="E392" i="15"/>
  <c r="D392" i="15"/>
  <c r="B392" i="15"/>
  <c r="F391" i="15"/>
  <c r="E391" i="15"/>
  <c r="D391" i="15"/>
  <c r="B391" i="15"/>
  <c r="F390" i="15"/>
  <c r="E390" i="15"/>
  <c r="D390" i="15"/>
  <c r="B390" i="15"/>
  <c r="F389" i="15"/>
  <c r="E389" i="15"/>
  <c r="D389" i="15"/>
  <c r="B389" i="15"/>
  <c r="F387" i="15"/>
  <c r="E387" i="15"/>
  <c r="D387" i="15"/>
  <c r="B387" i="15"/>
  <c r="F386" i="15"/>
  <c r="E386" i="15"/>
  <c r="D386" i="15"/>
  <c r="B386" i="15"/>
  <c r="G385" i="15"/>
  <c r="B380" i="15"/>
  <c r="V17" i="15" s="1"/>
  <c r="B369" i="15"/>
  <c r="F368" i="15"/>
  <c r="E368" i="15"/>
  <c r="D368" i="15"/>
  <c r="B368" i="15"/>
  <c r="F367" i="15"/>
  <c r="E367" i="15"/>
  <c r="B367" i="15"/>
  <c r="G366" i="15"/>
  <c r="B361" i="15"/>
  <c r="V15" i="15" s="1"/>
  <c r="B352" i="15"/>
  <c r="F351" i="15"/>
  <c r="E351" i="15"/>
  <c r="D351" i="15"/>
  <c r="F347" i="15"/>
  <c r="E347" i="15"/>
  <c r="D347" i="15"/>
  <c r="F346" i="15"/>
  <c r="E346" i="15"/>
  <c r="D346" i="15"/>
  <c r="F345" i="15"/>
  <c r="E345" i="15"/>
  <c r="D345" i="15"/>
  <c r="F344" i="15"/>
  <c r="E344" i="15"/>
  <c r="D344" i="15"/>
  <c r="B344" i="15"/>
  <c r="F343" i="15"/>
  <c r="E343" i="15"/>
  <c r="D343" i="15"/>
  <c r="F342" i="15"/>
  <c r="E342" i="15"/>
  <c r="D342" i="15"/>
  <c r="B342" i="15"/>
  <c r="F340" i="15"/>
  <c r="E340" i="15"/>
  <c r="D340" i="15"/>
  <c r="B340" i="15"/>
  <c r="G339" i="15"/>
  <c r="B324" i="15"/>
  <c r="F323" i="15"/>
  <c r="E323" i="15"/>
  <c r="D323" i="15"/>
  <c r="B323" i="15"/>
  <c r="F322" i="15"/>
  <c r="E322" i="15"/>
  <c r="D322" i="15"/>
  <c r="B322" i="15"/>
  <c r="F321" i="15"/>
  <c r="E321" i="15"/>
  <c r="D321" i="15"/>
  <c r="B321" i="15"/>
  <c r="F320" i="15"/>
  <c r="E320" i="15"/>
  <c r="D320" i="15"/>
  <c r="B320" i="15"/>
  <c r="F319" i="15"/>
  <c r="E319" i="15"/>
  <c r="D319" i="15"/>
  <c r="B319" i="15"/>
  <c r="F318" i="15"/>
  <c r="E318" i="15"/>
  <c r="D318" i="15"/>
  <c r="B318" i="15"/>
  <c r="F317" i="15"/>
  <c r="E317" i="15"/>
  <c r="F316" i="15"/>
  <c r="E316" i="15"/>
  <c r="D316" i="15"/>
  <c r="B316" i="15"/>
  <c r="F315" i="15"/>
  <c r="E315" i="15"/>
  <c r="D315" i="15"/>
  <c r="B315" i="15"/>
  <c r="F314" i="15"/>
  <c r="E314" i="15"/>
  <c r="D314" i="15"/>
  <c r="B314" i="15"/>
  <c r="F313" i="15"/>
  <c r="E313" i="15"/>
  <c r="D313" i="15"/>
  <c r="F312" i="15"/>
  <c r="E312" i="15"/>
  <c r="D312" i="15"/>
  <c r="B312" i="15"/>
  <c r="F311" i="15"/>
  <c r="E311" i="15"/>
  <c r="D311" i="15"/>
  <c r="B311" i="15"/>
  <c r="F310" i="15"/>
  <c r="E310" i="15"/>
  <c r="B310" i="15"/>
  <c r="F309" i="15"/>
  <c r="E309" i="15"/>
  <c r="B309" i="15"/>
  <c r="F308" i="15"/>
  <c r="E308" i="15"/>
  <c r="D308" i="15"/>
  <c r="B308" i="15"/>
  <c r="F307" i="15"/>
  <c r="E307" i="15"/>
  <c r="D307" i="15"/>
  <c r="B307" i="15"/>
  <c r="F306" i="15"/>
  <c r="E306" i="15"/>
  <c r="D306" i="15"/>
  <c r="B306" i="15"/>
  <c r="F305" i="15"/>
  <c r="E305" i="15"/>
  <c r="B305" i="15"/>
  <c r="F304" i="15"/>
  <c r="E304" i="15"/>
  <c r="D304" i="15"/>
  <c r="B304" i="15"/>
  <c r="F303" i="15"/>
  <c r="E303" i="15"/>
  <c r="D303" i="15"/>
  <c r="B303" i="15"/>
  <c r="F302" i="15"/>
  <c r="E302" i="15"/>
  <c r="D302" i="15"/>
  <c r="B302" i="15"/>
  <c r="F301" i="15"/>
  <c r="E301" i="15"/>
  <c r="D301" i="15"/>
  <c r="B301" i="15"/>
  <c r="F300" i="15"/>
  <c r="E300" i="15"/>
  <c r="B300" i="15"/>
  <c r="G299" i="15"/>
  <c r="I317" i="15"/>
  <c r="B292" i="15"/>
  <c r="C292" i="15" s="1"/>
  <c r="B293" i="15" s="1"/>
  <c r="B294" i="15" s="1"/>
  <c r="V13" i="15" s="1"/>
  <c r="B284" i="15"/>
  <c r="F258" i="15"/>
  <c r="E258" i="15"/>
  <c r="G257" i="15"/>
  <c r="B256" i="15"/>
  <c r="B247" i="15"/>
  <c r="I252" i="15"/>
  <c r="F239" i="15"/>
  <c r="E239" i="15"/>
  <c r="D239" i="15"/>
  <c r="B239" i="15"/>
  <c r="F238" i="15"/>
  <c r="E238" i="15"/>
  <c r="D238" i="15"/>
  <c r="F237" i="15"/>
  <c r="E237" i="15"/>
  <c r="D237" i="15"/>
  <c r="F236" i="15"/>
  <c r="E236" i="15"/>
  <c r="D236" i="15"/>
  <c r="B236" i="15"/>
  <c r="F234" i="15"/>
  <c r="E234" i="15"/>
  <c r="D234" i="15"/>
  <c r="B234" i="15"/>
  <c r="F233" i="15"/>
  <c r="E233" i="15"/>
  <c r="D233" i="15"/>
  <c r="B233" i="15"/>
  <c r="G232" i="15"/>
  <c r="B221" i="15"/>
  <c r="F220" i="15"/>
  <c r="E220" i="15"/>
  <c r="D220" i="15"/>
  <c r="B220" i="15"/>
  <c r="F219" i="15"/>
  <c r="E219" i="15"/>
  <c r="D219" i="15"/>
  <c r="F218" i="15"/>
  <c r="E218" i="15"/>
  <c r="D218" i="15"/>
  <c r="F215" i="15"/>
  <c r="E215" i="15"/>
  <c r="D215" i="15"/>
  <c r="B215" i="15"/>
  <c r="F213" i="15"/>
  <c r="E213" i="15"/>
  <c r="D213" i="15"/>
  <c r="B213" i="15"/>
  <c r="G211" i="15"/>
  <c r="B210" i="15"/>
  <c r="I226" i="15"/>
  <c r="B201" i="15"/>
  <c r="F200" i="15"/>
  <c r="E200" i="15"/>
  <c r="D200" i="15"/>
  <c r="B200" i="15"/>
  <c r="F199" i="15"/>
  <c r="E199" i="15"/>
  <c r="D199" i="15"/>
  <c r="B199" i="15"/>
  <c r="F198" i="15"/>
  <c r="E198" i="15"/>
  <c r="D198" i="15"/>
  <c r="B198" i="15"/>
  <c r="F197" i="15"/>
  <c r="E197" i="15"/>
  <c r="D197" i="15"/>
  <c r="B197" i="15"/>
  <c r="F196" i="15"/>
  <c r="E196" i="15"/>
  <c r="D196" i="15"/>
  <c r="B196" i="15"/>
  <c r="F195" i="15"/>
  <c r="E195" i="15"/>
  <c r="D195" i="15"/>
  <c r="F194" i="15"/>
  <c r="E194" i="15"/>
  <c r="D194" i="15"/>
  <c r="B194" i="15"/>
  <c r="I208" i="15"/>
  <c r="F193" i="15"/>
  <c r="E193" i="15"/>
  <c r="D193" i="15"/>
  <c r="B193" i="15"/>
  <c r="F192" i="15"/>
  <c r="E192" i="15"/>
  <c r="D192" i="15"/>
  <c r="B192" i="15"/>
  <c r="F191" i="15"/>
  <c r="E191" i="15"/>
  <c r="D191" i="15"/>
  <c r="B191" i="15"/>
  <c r="F190" i="15"/>
  <c r="E190" i="15"/>
  <c r="D190" i="15"/>
  <c r="B190" i="15"/>
  <c r="G189" i="15"/>
  <c r="B188" i="15"/>
  <c r="B179" i="15"/>
  <c r="F177" i="15"/>
  <c r="E177" i="15"/>
  <c r="D177" i="15"/>
  <c r="B177" i="15"/>
  <c r="F176" i="15"/>
  <c r="E176" i="15"/>
  <c r="D176" i="15"/>
  <c r="B176" i="15"/>
  <c r="F175" i="15"/>
  <c r="E175" i="15"/>
  <c r="D175" i="15"/>
  <c r="B175" i="15"/>
  <c r="F174" i="15"/>
  <c r="E174" i="15"/>
  <c r="B174" i="15"/>
  <c r="F171" i="15"/>
  <c r="E171" i="15"/>
  <c r="D171" i="15"/>
  <c r="B171" i="15"/>
  <c r="F170" i="15"/>
  <c r="E170" i="15"/>
  <c r="D170" i="15"/>
  <c r="B170" i="15"/>
  <c r="F169" i="15"/>
  <c r="E169" i="15"/>
  <c r="D169" i="15"/>
  <c r="B169" i="15"/>
  <c r="G168" i="15"/>
  <c r="B167" i="15"/>
  <c r="B158" i="15"/>
  <c r="F157" i="15"/>
  <c r="E157" i="15"/>
  <c r="D157" i="15"/>
  <c r="B157" i="15"/>
  <c r="F156" i="15"/>
  <c r="E156" i="15"/>
  <c r="D156" i="15"/>
  <c r="B156" i="15"/>
  <c r="F150" i="15"/>
  <c r="E150" i="15"/>
  <c r="D150" i="15"/>
  <c r="B150" i="15"/>
  <c r="F149" i="15"/>
  <c r="E149" i="15"/>
  <c r="D149" i="15"/>
  <c r="B149" i="15"/>
  <c r="F143" i="15"/>
  <c r="E143" i="15"/>
  <c r="D143" i="15"/>
  <c r="B143" i="15"/>
  <c r="F142" i="15"/>
  <c r="E142" i="15"/>
  <c r="D142" i="15"/>
  <c r="F136" i="15"/>
  <c r="E136" i="15"/>
  <c r="D136" i="15"/>
  <c r="B136" i="15"/>
  <c r="F135" i="15"/>
  <c r="E135" i="15"/>
  <c r="D135" i="15"/>
  <c r="B135" i="15"/>
  <c r="F134" i="15"/>
  <c r="E134" i="15"/>
  <c r="D134" i="15"/>
  <c r="B134" i="15"/>
  <c r="F132" i="15"/>
  <c r="E132" i="15"/>
  <c r="D132" i="15"/>
  <c r="B132" i="15"/>
  <c r="F130" i="15"/>
  <c r="E130" i="15"/>
  <c r="D130" i="15"/>
  <c r="B130" i="15"/>
  <c r="F128" i="15"/>
  <c r="E128" i="15"/>
  <c r="D128" i="15"/>
  <c r="F127" i="15"/>
  <c r="E127" i="15"/>
  <c r="D127" i="15"/>
  <c r="B127" i="15"/>
  <c r="F126" i="15"/>
  <c r="E126" i="15"/>
  <c r="D126" i="15"/>
  <c r="G125" i="15"/>
  <c r="B124" i="15"/>
  <c r="B115" i="15"/>
  <c r="F114" i="15"/>
  <c r="E114" i="15"/>
  <c r="D114" i="15"/>
  <c r="B114" i="15"/>
  <c r="F113" i="15"/>
  <c r="E113" i="15"/>
  <c r="D113" i="15"/>
  <c r="B113" i="15"/>
  <c r="F112" i="15"/>
  <c r="E112" i="15"/>
  <c r="D112" i="15"/>
  <c r="B112" i="15"/>
  <c r="F111" i="15"/>
  <c r="E111" i="15"/>
  <c r="D111" i="15"/>
  <c r="B111" i="15"/>
  <c r="F110" i="15"/>
  <c r="E110" i="15"/>
  <c r="D110" i="15"/>
  <c r="B110" i="15"/>
  <c r="F109" i="15"/>
  <c r="E109" i="15"/>
  <c r="D109" i="15"/>
  <c r="B109" i="15"/>
  <c r="G108" i="15"/>
  <c r="B107" i="15"/>
  <c r="I108" i="15"/>
  <c r="B98" i="15"/>
  <c r="F97" i="15"/>
  <c r="E97" i="15"/>
  <c r="D97" i="15"/>
  <c r="B97" i="15"/>
  <c r="F96" i="15"/>
  <c r="E96" i="15"/>
  <c r="D96" i="15"/>
  <c r="B96" i="15"/>
  <c r="F95" i="15"/>
  <c r="E95" i="15"/>
  <c r="D95" i="15"/>
  <c r="F94" i="15"/>
  <c r="E94" i="15"/>
  <c r="D94" i="15"/>
  <c r="F93" i="15"/>
  <c r="E93" i="15"/>
  <c r="D93" i="15"/>
  <c r="F92" i="15"/>
  <c r="E92" i="15"/>
  <c r="D92" i="15"/>
  <c r="F91" i="15"/>
  <c r="E91" i="15"/>
  <c r="D91" i="15"/>
  <c r="F90" i="15"/>
  <c r="E90" i="15"/>
  <c r="D90" i="15"/>
  <c r="F89" i="15"/>
  <c r="E89" i="15"/>
  <c r="D89" i="15"/>
  <c r="F88" i="15"/>
  <c r="E88" i="15"/>
  <c r="D88" i="15"/>
  <c r="F87" i="15"/>
  <c r="E87" i="15"/>
  <c r="D87" i="15"/>
  <c r="F86" i="15"/>
  <c r="E86" i="15"/>
  <c r="D86" i="15"/>
  <c r="F85" i="15"/>
  <c r="E85" i="15"/>
  <c r="D85" i="15"/>
  <c r="I94" i="15"/>
  <c r="F84" i="15"/>
  <c r="E84" i="15"/>
  <c r="D84" i="15"/>
  <c r="B84" i="15"/>
  <c r="F83" i="15"/>
  <c r="E83" i="15"/>
  <c r="D83" i="15"/>
  <c r="B83" i="15"/>
  <c r="F82" i="15"/>
  <c r="E82" i="15"/>
  <c r="D82" i="15"/>
  <c r="B82" i="15"/>
  <c r="F81" i="15"/>
  <c r="E81" i="15"/>
  <c r="D81" i="15"/>
  <c r="B81" i="15"/>
  <c r="F80" i="15"/>
  <c r="E80" i="15"/>
  <c r="D80" i="15"/>
  <c r="B80" i="15"/>
  <c r="F79" i="15"/>
  <c r="E79" i="15"/>
  <c r="D79" i="15"/>
  <c r="B79" i="15"/>
  <c r="E78" i="15"/>
  <c r="G77" i="15"/>
  <c r="B76" i="15"/>
  <c r="B67" i="15"/>
  <c r="F66" i="15"/>
  <c r="E66" i="15"/>
  <c r="D66" i="15"/>
  <c r="B66" i="15"/>
  <c r="F65" i="15"/>
  <c r="E65" i="15"/>
  <c r="B65" i="15"/>
  <c r="F64" i="15"/>
  <c r="E64" i="15"/>
  <c r="D64" i="15"/>
  <c r="B64" i="15"/>
  <c r="F63" i="15"/>
  <c r="E63" i="15"/>
  <c r="D63" i="15"/>
  <c r="B63" i="15"/>
  <c r="F62" i="15"/>
  <c r="E62" i="15"/>
  <c r="D62" i="15"/>
  <c r="B62" i="15"/>
  <c r="F61" i="15"/>
  <c r="E61" i="15"/>
  <c r="D61" i="15"/>
  <c r="B61" i="15"/>
  <c r="F60" i="15"/>
  <c r="E60" i="15"/>
  <c r="D60" i="15"/>
  <c r="B60" i="15"/>
  <c r="F59" i="15"/>
  <c r="E59" i="15"/>
  <c r="D59" i="15"/>
  <c r="B59" i="15"/>
  <c r="F58" i="15"/>
  <c r="E58" i="15"/>
  <c r="D58" i="15"/>
  <c r="B58" i="15"/>
  <c r="I67" i="15"/>
  <c r="G57" i="15"/>
  <c r="B56" i="15"/>
  <c r="B47" i="15"/>
  <c r="F46" i="15"/>
  <c r="E46" i="15"/>
  <c r="D46" i="15"/>
  <c r="B46" i="15"/>
  <c r="I54" i="15"/>
  <c r="F45" i="15"/>
  <c r="E45" i="15"/>
  <c r="B45" i="15"/>
  <c r="F44" i="15"/>
  <c r="E44" i="15"/>
  <c r="D44" i="15"/>
  <c r="B44" i="15"/>
  <c r="F43" i="15"/>
  <c r="E43" i="15"/>
  <c r="D43" i="15"/>
  <c r="B43" i="15"/>
  <c r="F42" i="15"/>
  <c r="E42" i="15"/>
  <c r="D42" i="15"/>
  <c r="B42" i="15"/>
  <c r="F41" i="15"/>
  <c r="E41" i="15"/>
  <c r="D41" i="15"/>
  <c r="B41" i="15"/>
  <c r="F40" i="15"/>
  <c r="E40" i="15"/>
  <c r="D40" i="15"/>
  <c r="B40" i="15"/>
  <c r="F39" i="15"/>
  <c r="E39" i="15"/>
  <c r="D39" i="15"/>
  <c r="B39" i="15"/>
  <c r="F38" i="15"/>
  <c r="E38" i="15"/>
  <c r="D38" i="15"/>
  <c r="B38" i="15"/>
  <c r="G37" i="15"/>
  <c r="B36" i="15"/>
  <c r="I41" i="15"/>
  <c r="B27" i="15"/>
  <c r="X30" i="15"/>
  <c r="F25" i="15"/>
  <c r="E25" i="15"/>
  <c r="D25" i="15"/>
  <c r="B25" i="15"/>
  <c r="F24" i="15"/>
  <c r="E24" i="15"/>
  <c r="D24" i="15"/>
  <c r="B24" i="15"/>
  <c r="I28" i="15"/>
  <c r="F23" i="15"/>
  <c r="E23" i="15"/>
  <c r="D23" i="15"/>
  <c r="B23" i="15"/>
  <c r="F22" i="15"/>
  <c r="E22" i="15"/>
  <c r="D22" i="15"/>
  <c r="B22" i="15"/>
  <c r="F21" i="15"/>
  <c r="E21" i="15"/>
  <c r="D21" i="15"/>
  <c r="B21" i="15"/>
  <c r="F20" i="15"/>
  <c r="E20" i="15"/>
  <c r="D20" i="15"/>
  <c r="B20" i="15"/>
  <c r="F19" i="15"/>
  <c r="E19" i="15"/>
  <c r="D19" i="15"/>
  <c r="B19" i="15"/>
  <c r="G18" i="15"/>
  <c r="B15" i="15"/>
  <c r="B14" i="15"/>
  <c r="AB25" i="15" s="1"/>
  <c r="Q25" i="15" s="1"/>
  <c r="B7" i="15"/>
  <c r="E370" i="13"/>
  <c r="F370" i="13"/>
  <c r="Q227" i="4"/>
  <c r="Q228" i="4"/>
  <c r="B358" i="13"/>
  <c r="D358" i="13"/>
  <c r="E358" i="13"/>
  <c r="F358" i="13"/>
  <c r="Q216" i="4"/>
  <c r="R216" i="4"/>
  <c r="H832" i="13"/>
  <c r="H837" i="13"/>
  <c r="H848" i="13"/>
  <c r="H821" i="13"/>
  <c r="H817" i="13"/>
  <c r="H799" i="13"/>
  <c r="H795" i="13"/>
  <c r="H791" i="13"/>
  <c r="H742" i="13"/>
  <c r="H739" i="13"/>
  <c r="H725" i="13"/>
  <c r="H721" i="13"/>
  <c r="H717" i="13"/>
  <c r="B547" i="13"/>
  <c r="V21" i="13" s="1"/>
  <c r="B538" i="13"/>
  <c r="F536" i="13"/>
  <c r="E536" i="13"/>
  <c r="D536" i="13"/>
  <c r="F535" i="13"/>
  <c r="E535" i="13"/>
  <c r="D535" i="13"/>
  <c r="F534" i="13"/>
  <c r="E534" i="13"/>
  <c r="D534" i="13"/>
  <c r="F528" i="13"/>
  <c r="E528" i="13"/>
  <c r="D528" i="13"/>
  <c r="F527" i="13"/>
  <c r="E527" i="13"/>
  <c r="D527" i="13"/>
  <c r="F525" i="13"/>
  <c r="E525" i="13"/>
  <c r="G524" i="13"/>
  <c r="R297" i="4"/>
  <c r="Q297" i="4"/>
  <c r="AB19" i="15" l="1"/>
  <c r="AB22" i="15"/>
  <c r="AB20" i="15"/>
  <c r="AB13" i="15"/>
  <c r="Q13" i="15" s="1"/>
  <c r="AB17" i="15"/>
  <c r="AB14" i="15"/>
  <c r="AB24" i="15"/>
  <c r="Q24" i="15" s="1"/>
  <c r="AB21" i="15"/>
  <c r="AB16" i="15"/>
  <c r="AB15" i="15"/>
  <c r="AB18" i="15"/>
  <c r="AB23" i="15"/>
  <c r="W274" i="15"/>
  <c r="W309" i="15"/>
  <c r="W324" i="15"/>
  <c r="W161" i="15"/>
  <c r="W116" i="15"/>
  <c r="W178" i="15"/>
  <c r="W507" i="15"/>
  <c r="W197" i="15"/>
  <c r="W771" i="15"/>
  <c r="W788" i="15"/>
  <c r="W232" i="15"/>
  <c r="W359" i="15"/>
  <c r="I18" i="15"/>
  <c r="N23" i="15"/>
  <c r="N21" i="15"/>
  <c r="N20" i="15"/>
  <c r="I23" i="15"/>
  <c r="I20" i="15"/>
  <c r="I22" i="15"/>
  <c r="I21" i="15"/>
  <c r="N13" i="15"/>
  <c r="B16" i="15"/>
  <c r="Q22" i="15" s="1"/>
  <c r="N14" i="15"/>
  <c r="I13" i="15"/>
  <c r="I15" i="15"/>
  <c r="I14" i="15"/>
  <c r="N16" i="15"/>
  <c r="I17" i="15"/>
  <c r="N15" i="15"/>
  <c r="I16" i="15"/>
  <c r="N17" i="15"/>
  <c r="N18" i="15"/>
  <c r="W305" i="4"/>
  <c r="Q305" i="4"/>
  <c r="W304" i="4"/>
  <c r="Q304" i="4"/>
  <c r="W300" i="4"/>
  <c r="Q300" i="4"/>
  <c r="W299" i="4"/>
  <c r="Q299" i="4"/>
  <c r="Q303" i="4"/>
  <c r="Q302" i="4"/>
  <c r="Q295" i="4"/>
  <c r="R295" i="4"/>
  <c r="W294" i="4"/>
  <c r="Q294" i="4"/>
  <c r="W293" i="4"/>
  <c r="Q293" i="4"/>
  <c r="W292" i="4"/>
  <c r="Q292" i="4"/>
  <c r="W291" i="4"/>
  <c r="Q291" i="4"/>
  <c r="Q290" i="4"/>
  <c r="Q289" i="4"/>
  <c r="U5" i="2"/>
  <c r="U6" i="2"/>
  <c r="B368" i="13"/>
  <c r="B366" i="13"/>
  <c r="B365" i="13"/>
  <c r="B364" i="13"/>
  <c r="B362" i="13"/>
  <c r="B360" i="13"/>
  <c r="B356" i="13"/>
  <c r="B355" i="13"/>
  <c r="B354" i="13"/>
  <c r="B353" i="13"/>
  <c r="F354" i="13"/>
  <c r="E354" i="13"/>
  <c r="D354" i="13"/>
  <c r="Q212" i="4"/>
  <c r="B509" i="13"/>
  <c r="B508" i="13"/>
  <c r="B507" i="13"/>
  <c r="B502" i="13"/>
  <c r="B501" i="13"/>
  <c r="B500" i="13"/>
  <c r="B492" i="13"/>
  <c r="B490" i="13"/>
  <c r="B412" i="13"/>
  <c r="B499" i="13"/>
  <c r="B498" i="13"/>
  <c r="B497" i="13"/>
  <c r="B496" i="13"/>
  <c r="B495" i="13"/>
  <c r="B494" i="13"/>
  <c r="B493" i="13"/>
  <c r="B491" i="13"/>
  <c r="B489" i="13"/>
  <c r="B488" i="13"/>
  <c r="B487" i="13"/>
  <c r="B486" i="13"/>
  <c r="B485" i="13"/>
  <c r="B484" i="13"/>
  <c r="D486" i="13"/>
  <c r="E486" i="13"/>
  <c r="F486" i="13"/>
  <c r="D487" i="13"/>
  <c r="E487" i="13"/>
  <c r="F487" i="13"/>
  <c r="D488" i="13"/>
  <c r="E488" i="13"/>
  <c r="F488" i="13"/>
  <c r="D489" i="13"/>
  <c r="E489" i="13"/>
  <c r="F489" i="13"/>
  <c r="D490" i="13"/>
  <c r="E490" i="13"/>
  <c r="F490" i="13"/>
  <c r="D491" i="13"/>
  <c r="E491" i="13"/>
  <c r="F491" i="13"/>
  <c r="D492" i="13"/>
  <c r="E492" i="13"/>
  <c r="F492" i="13"/>
  <c r="D493" i="13"/>
  <c r="E493" i="13"/>
  <c r="F493" i="13"/>
  <c r="E494" i="13"/>
  <c r="F494" i="13"/>
  <c r="D495" i="13"/>
  <c r="E495" i="13"/>
  <c r="F495" i="13"/>
  <c r="D496" i="13"/>
  <c r="E496" i="13"/>
  <c r="F496" i="13"/>
  <c r="D497" i="13"/>
  <c r="E497" i="13"/>
  <c r="F497" i="13"/>
  <c r="D498" i="13"/>
  <c r="E498" i="13"/>
  <c r="F498" i="13"/>
  <c r="D499" i="13"/>
  <c r="E499" i="13"/>
  <c r="F499" i="13"/>
  <c r="D500" i="13"/>
  <c r="E500" i="13"/>
  <c r="F500" i="13"/>
  <c r="D501" i="13"/>
  <c r="E501" i="13"/>
  <c r="F501" i="13"/>
  <c r="D502" i="13"/>
  <c r="E502" i="13"/>
  <c r="F502" i="13"/>
  <c r="D503" i="13"/>
  <c r="E503" i="13"/>
  <c r="F503" i="13"/>
  <c r="E504" i="13"/>
  <c r="F504" i="13"/>
  <c r="E505" i="13"/>
  <c r="F505" i="13"/>
  <c r="E506" i="13"/>
  <c r="F506" i="13"/>
  <c r="D507" i="13"/>
  <c r="E507" i="13"/>
  <c r="F507" i="13"/>
  <c r="E508" i="13"/>
  <c r="F508" i="13"/>
  <c r="D509" i="13"/>
  <c r="E509" i="13"/>
  <c r="F509" i="13"/>
  <c r="B519" i="13"/>
  <c r="V22" i="13" s="1"/>
  <c r="B510" i="13"/>
  <c r="F485" i="13"/>
  <c r="E485" i="13"/>
  <c r="D485" i="13"/>
  <c r="F484" i="13"/>
  <c r="E484" i="13"/>
  <c r="G483" i="13"/>
  <c r="Q288" i="4"/>
  <c r="R288" i="4"/>
  <c r="Q260" i="4"/>
  <c r="Q261" i="4"/>
  <c r="Q262" i="4"/>
  <c r="Q263" i="4"/>
  <c r="Q264" i="4"/>
  <c r="Q265" i="4"/>
  <c r="Q266" i="4"/>
  <c r="Q267" i="4"/>
  <c r="Q268" i="4"/>
  <c r="Q269" i="4"/>
  <c r="Q270" i="4"/>
  <c r="Q271" i="4"/>
  <c r="Q272" i="4"/>
  <c r="Q273" i="4"/>
  <c r="Q274" i="4"/>
  <c r="Q275" i="4"/>
  <c r="Q276" i="4"/>
  <c r="Q277" i="4"/>
  <c r="Q278" i="4"/>
  <c r="Q279" i="4"/>
  <c r="Q280" i="4"/>
  <c r="Q281" i="4"/>
  <c r="Q282" i="4"/>
  <c r="Q283" i="4"/>
  <c r="Q284" i="4"/>
  <c r="Q285" i="4"/>
  <c r="Q286" i="4"/>
  <c r="Q287" i="4"/>
  <c r="R261" i="4"/>
  <c r="R262" i="4"/>
  <c r="R263" i="4"/>
  <c r="R264" i="4"/>
  <c r="R265" i="4"/>
  <c r="R266" i="4"/>
  <c r="R268" i="4"/>
  <c r="R270" i="4"/>
  <c r="R271" i="4"/>
  <c r="R272" i="4"/>
  <c r="R273" i="4"/>
  <c r="R274" i="4"/>
  <c r="R275" i="4"/>
  <c r="R276" i="4"/>
  <c r="R278" i="4"/>
  <c r="R280" i="4"/>
  <c r="R281" i="4"/>
  <c r="R282" i="4"/>
  <c r="R283" i="4"/>
  <c r="R284" i="4"/>
  <c r="R285" i="4"/>
  <c r="R286" i="4"/>
  <c r="R287" i="4"/>
  <c r="Q258" i="4"/>
  <c r="R258" i="4"/>
  <c r="B452" i="13"/>
  <c r="B451" i="13"/>
  <c r="B462" i="13"/>
  <c r="V19" i="13" s="1"/>
  <c r="B453" i="13"/>
  <c r="F452" i="13"/>
  <c r="E452" i="13"/>
  <c r="D452" i="13"/>
  <c r="F451" i="13"/>
  <c r="E451" i="13"/>
  <c r="G450" i="13"/>
  <c r="Q257" i="4"/>
  <c r="R257" i="4"/>
  <c r="Q256" i="4"/>
  <c r="R256" i="4"/>
  <c r="B434" i="13"/>
  <c r="B433" i="13"/>
  <c r="B432" i="13"/>
  <c r="B431" i="13"/>
  <c r="B430" i="13"/>
  <c r="B445" i="13"/>
  <c r="B436" i="13"/>
  <c r="F435" i="13"/>
  <c r="E435" i="13"/>
  <c r="F434" i="13"/>
  <c r="E434" i="13"/>
  <c r="F433" i="13"/>
  <c r="E433" i="13"/>
  <c r="F432" i="13"/>
  <c r="E432" i="13"/>
  <c r="F431" i="13"/>
  <c r="E431" i="13"/>
  <c r="F430" i="13"/>
  <c r="E430" i="13"/>
  <c r="G429" i="13"/>
  <c r="Q250" i="4"/>
  <c r="Q251" i="4"/>
  <c r="Q252" i="4"/>
  <c r="Q253" i="4"/>
  <c r="Q254" i="4"/>
  <c r="Q255" i="4"/>
  <c r="R250" i="4"/>
  <c r="R251" i="4"/>
  <c r="R252" i="4"/>
  <c r="R253" i="4"/>
  <c r="R254" i="4"/>
  <c r="R255" i="4"/>
  <c r="B414" i="13"/>
  <c r="B413" i="13"/>
  <c r="B411" i="13"/>
  <c r="B409" i="13"/>
  <c r="D410" i="13"/>
  <c r="E410" i="13"/>
  <c r="F410" i="13"/>
  <c r="D411" i="13"/>
  <c r="E411" i="13"/>
  <c r="F411" i="13"/>
  <c r="D412" i="13"/>
  <c r="E412" i="13"/>
  <c r="F412" i="13"/>
  <c r="D413" i="13"/>
  <c r="E413" i="13"/>
  <c r="F413" i="13"/>
  <c r="D414" i="13"/>
  <c r="E414" i="13"/>
  <c r="F414" i="13"/>
  <c r="B424" i="13"/>
  <c r="V20" i="13" s="1"/>
  <c r="B415" i="13"/>
  <c r="F409" i="13"/>
  <c r="E409" i="13"/>
  <c r="G408" i="13"/>
  <c r="Q242" i="4"/>
  <c r="Q243" i="4"/>
  <c r="Q244" i="4"/>
  <c r="Q245" i="4"/>
  <c r="Q246" i="4"/>
  <c r="Q247" i="4"/>
  <c r="Q248" i="4"/>
  <c r="Q249" i="4"/>
  <c r="B393" i="13"/>
  <c r="B392" i="13"/>
  <c r="G391" i="13"/>
  <c r="B403" i="13"/>
  <c r="B394" i="13"/>
  <c r="F393" i="13"/>
  <c r="E393" i="13"/>
  <c r="D393" i="13"/>
  <c r="F392" i="13"/>
  <c r="E392" i="13"/>
  <c r="Q240" i="4"/>
  <c r="Q241" i="4"/>
  <c r="R240" i="4"/>
  <c r="R241" i="4"/>
  <c r="B352" i="13"/>
  <c r="B350" i="13"/>
  <c r="G349" i="13"/>
  <c r="G309" i="13"/>
  <c r="G264" i="13"/>
  <c r="G239" i="13"/>
  <c r="G218" i="13"/>
  <c r="G194" i="13"/>
  <c r="G174" i="13"/>
  <c r="G125" i="13"/>
  <c r="G108" i="13"/>
  <c r="G77" i="13"/>
  <c r="G57" i="13"/>
  <c r="G37" i="13"/>
  <c r="G18" i="13"/>
  <c r="B377" i="13"/>
  <c r="F376" i="13"/>
  <c r="E376" i="13"/>
  <c r="D376" i="13"/>
  <c r="F368" i="13"/>
  <c r="E368" i="13"/>
  <c r="D368" i="13"/>
  <c r="F366" i="13"/>
  <c r="E366" i="13"/>
  <c r="D366" i="13"/>
  <c r="F365" i="13"/>
  <c r="E365" i="13"/>
  <c r="D365" i="13"/>
  <c r="F364" i="13"/>
  <c r="E364" i="13"/>
  <c r="D364" i="13"/>
  <c r="F362" i="13"/>
  <c r="E362" i="13"/>
  <c r="D362" i="13"/>
  <c r="F361" i="13"/>
  <c r="E361" i="13"/>
  <c r="D361" i="13"/>
  <c r="F360" i="13"/>
  <c r="E360" i="13"/>
  <c r="D360" i="13"/>
  <c r="F356" i="13"/>
  <c r="E356" i="13"/>
  <c r="F355" i="13"/>
  <c r="E355" i="13"/>
  <c r="D355" i="13"/>
  <c r="F353" i="13"/>
  <c r="E353" i="13"/>
  <c r="D353" i="13"/>
  <c r="F352" i="13"/>
  <c r="E352" i="13"/>
  <c r="D352" i="13"/>
  <c r="F351" i="13"/>
  <c r="E351" i="13"/>
  <c r="D351" i="13"/>
  <c r="F350" i="13"/>
  <c r="E350" i="13"/>
  <c r="D350" i="13"/>
  <c r="Q236" i="4"/>
  <c r="Q237" i="4"/>
  <c r="Q238" i="4"/>
  <c r="Q239" i="4"/>
  <c r="R239" i="4"/>
  <c r="Q209" i="4"/>
  <c r="Q210" i="4"/>
  <c r="Q211" i="4"/>
  <c r="Q213" i="4"/>
  <c r="Q214" i="4"/>
  <c r="Q217" i="4"/>
  <c r="Q218" i="4"/>
  <c r="Q219" i="4"/>
  <c r="Q220" i="4"/>
  <c r="Q221" i="4"/>
  <c r="Q222" i="4"/>
  <c r="Q223" i="4"/>
  <c r="Q224" i="4"/>
  <c r="Q225" i="4"/>
  <c r="Q226" i="4"/>
  <c r="Q229" i="4"/>
  <c r="Q230" i="4"/>
  <c r="Q231" i="4"/>
  <c r="Q232" i="4"/>
  <c r="Q233" i="4"/>
  <c r="Q234" i="4"/>
  <c r="Q235" i="4"/>
  <c r="R211" i="4"/>
  <c r="R213" i="4"/>
  <c r="R214" i="4"/>
  <c r="R217" i="4"/>
  <c r="R218" i="4"/>
  <c r="R219" i="4"/>
  <c r="R220" i="4"/>
  <c r="R221" i="4"/>
  <c r="R222" i="4"/>
  <c r="R223" i="4"/>
  <c r="R224" i="4"/>
  <c r="R225" i="4"/>
  <c r="R226" i="4"/>
  <c r="Q208" i="4"/>
  <c r="R208" i="4"/>
  <c r="B293" i="13"/>
  <c r="B266" i="13"/>
  <c r="B280" i="13"/>
  <c r="B281" i="13"/>
  <c r="B282" i="13"/>
  <c r="B283" i="13"/>
  <c r="B284" i="13"/>
  <c r="B285" i="13"/>
  <c r="B286" i="13"/>
  <c r="B287" i="13"/>
  <c r="B288" i="13"/>
  <c r="B279" i="13"/>
  <c r="B268" i="13"/>
  <c r="B269" i="13"/>
  <c r="B270" i="13"/>
  <c r="B271" i="13"/>
  <c r="B272" i="13"/>
  <c r="B273" i="13"/>
  <c r="B274" i="13"/>
  <c r="B275" i="13"/>
  <c r="B276" i="13"/>
  <c r="B267" i="13"/>
  <c r="B265" i="13"/>
  <c r="E78" i="13"/>
  <c r="E292" i="13"/>
  <c r="F292" i="13"/>
  <c r="E293" i="13"/>
  <c r="F293" i="13"/>
  <c r="E266" i="13"/>
  <c r="F266" i="13"/>
  <c r="D267" i="13"/>
  <c r="E267" i="13"/>
  <c r="F267" i="13"/>
  <c r="D268" i="13"/>
  <c r="E268" i="13"/>
  <c r="F268" i="13"/>
  <c r="D269" i="13"/>
  <c r="E269" i="13"/>
  <c r="F269" i="13"/>
  <c r="D270" i="13"/>
  <c r="E270" i="13"/>
  <c r="F270" i="13"/>
  <c r="D271" i="13"/>
  <c r="E271" i="13"/>
  <c r="F271" i="13"/>
  <c r="D272" i="13"/>
  <c r="E272" i="13"/>
  <c r="F272" i="13"/>
  <c r="D273" i="13"/>
  <c r="E273" i="13"/>
  <c r="F273" i="13"/>
  <c r="D274" i="13"/>
  <c r="E274" i="13"/>
  <c r="F274" i="13"/>
  <c r="D275" i="13"/>
  <c r="E275" i="13"/>
  <c r="F275" i="13"/>
  <c r="D276" i="13"/>
  <c r="E276" i="13"/>
  <c r="F276" i="13"/>
  <c r="D279" i="13"/>
  <c r="E279" i="13"/>
  <c r="F279" i="13"/>
  <c r="D280" i="13"/>
  <c r="E280" i="13"/>
  <c r="F280" i="13"/>
  <c r="D281" i="13"/>
  <c r="E281" i="13"/>
  <c r="F281" i="13"/>
  <c r="D282" i="13"/>
  <c r="E282" i="13"/>
  <c r="F282" i="13"/>
  <c r="D283" i="13"/>
  <c r="E283" i="13"/>
  <c r="F283" i="13"/>
  <c r="D284" i="13"/>
  <c r="E284" i="13"/>
  <c r="F284" i="13"/>
  <c r="D285" i="13"/>
  <c r="E285" i="13"/>
  <c r="F285" i="13"/>
  <c r="D286" i="13"/>
  <c r="E286" i="13"/>
  <c r="F286" i="13"/>
  <c r="D287" i="13"/>
  <c r="E287" i="13"/>
  <c r="F287" i="13"/>
  <c r="D288" i="13"/>
  <c r="E288" i="13"/>
  <c r="F288" i="13"/>
  <c r="F265" i="13"/>
  <c r="E265" i="13"/>
  <c r="Q21" i="15" l="1"/>
  <c r="Q18" i="15"/>
  <c r="Q17" i="15"/>
  <c r="Q20" i="15"/>
  <c r="Q16" i="15"/>
  <c r="Q23" i="15"/>
  <c r="Q15" i="15"/>
  <c r="Q19" i="15"/>
  <c r="W617" i="13"/>
  <c r="W898" i="13"/>
  <c r="W905" i="13"/>
  <c r="W873" i="13"/>
  <c r="W880" i="13"/>
  <c r="Q14" i="15"/>
  <c r="Q206" i="4"/>
  <c r="Q207" i="4"/>
  <c r="R206" i="4"/>
  <c r="R207" i="4"/>
  <c r="Q202" i="4"/>
  <c r="R202" i="4"/>
  <c r="B302" i="13"/>
  <c r="C302" i="13" s="1"/>
  <c r="B303" i="13" s="1"/>
  <c r="B304" i="13" s="1"/>
  <c r="V13" i="13" s="1"/>
  <c r="B294" i="13"/>
  <c r="B14" i="13"/>
  <c r="AB13" i="13" s="1"/>
  <c r="B310" i="13"/>
  <c r="I366" i="13"/>
  <c r="B254" i="13"/>
  <c r="B263" i="13"/>
  <c r="B228" i="13"/>
  <c r="E327" i="13"/>
  <c r="F327" i="13"/>
  <c r="Q172" i="4"/>
  <c r="B329" i="13"/>
  <c r="B330" i="13"/>
  <c r="B331" i="13"/>
  <c r="B332" i="13"/>
  <c r="B333" i="13"/>
  <c r="B328" i="13"/>
  <c r="B326" i="13"/>
  <c r="B325" i="13"/>
  <c r="B324" i="13"/>
  <c r="B322" i="13"/>
  <c r="B321" i="13"/>
  <c r="B320" i="13"/>
  <c r="B319" i="13"/>
  <c r="B318" i="13"/>
  <c r="B317" i="13"/>
  <c r="B316" i="13"/>
  <c r="B315" i="13"/>
  <c r="B314" i="13"/>
  <c r="B313" i="13"/>
  <c r="B312" i="13"/>
  <c r="B311" i="13"/>
  <c r="D311" i="13"/>
  <c r="E311" i="13"/>
  <c r="F311" i="13"/>
  <c r="D312" i="13"/>
  <c r="E312" i="13"/>
  <c r="F312" i="13"/>
  <c r="D313" i="13"/>
  <c r="E313" i="13"/>
  <c r="F313" i="13"/>
  <c r="D314" i="13"/>
  <c r="E314" i="13"/>
  <c r="F314" i="13"/>
  <c r="E315" i="13"/>
  <c r="F315" i="13"/>
  <c r="D316" i="13"/>
  <c r="E316" i="13"/>
  <c r="F316" i="13"/>
  <c r="D317" i="13"/>
  <c r="E317" i="13"/>
  <c r="F317" i="13"/>
  <c r="D318" i="13"/>
  <c r="E318" i="13"/>
  <c r="F318" i="13"/>
  <c r="E319" i="13"/>
  <c r="F319" i="13"/>
  <c r="E320" i="13"/>
  <c r="F320" i="13"/>
  <c r="D321" i="13"/>
  <c r="E321" i="13"/>
  <c r="F321" i="13"/>
  <c r="D322" i="13"/>
  <c r="E322" i="13"/>
  <c r="F322" i="13"/>
  <c r="D323" i="13"/>
  <c r="E323" i="13"/>
  <c r="F323" i="13"/>
  <c r="D324" i="13"/>
  <c r="E324" i="13"/>
  <c r="F324" i="13"/>
  <c r="D325" i="13"/>
  <c r="E325" i="13"/>
  <c r="F325" i="13"/>
  <c r="D326" i="13"/>
  <c r="E326" i="13"/>
  <c r="F326" i="13"/>
  <c r="D328" i="13"/>
  <c r="E328" i="13"/>
  <c r="F328" i="13"/>
  <c r="D329" i="13"/>
  <c r="E329" i="13"/>
  <c r="F329" i="13"/>
  <c r="D330" i="13"/>
  <c r="E330" i="13"/>
  <c r="F330" i="13"/>
  <c r="D331" i="13"/>
  <c r="E331" i="13"/>
  <c r="F331" i="13"/>
  <c r="D332" i="13"/>
  <c r="E332" i="13"/>
  <c r="F332" i="13"/>
  <c r="D333" i="13"/>
  <c r="E333" i="13"/>
  <c r="F333" i="13"/>
  <c r="B334" i="13"/>
  <c r="AB24" i="13" l="1"/>
  <c r="Q24" i="13" s="1"/>
  <c r="Q13" i="13"/>
  <c r="AB23" i="13"/>
  <c r="Q23" i="13" s="1"/>
  <c r="AB17" i="13"/>
  <c r="Q17" i="13" s="1"/>
  <c r="AB16" i="13"/>
  <c r="Q16" i="13" s="1"/>
  <c r="AB15" i="13"/>
  <c r="Q15" i="13" s="1"/>
  <c r="AB20" i="13"/>
  <c r="Q20" i="13" s="1"/>
  <c r="AB14" i="13"/>
  <c r="Q14" i="13" s="1"/>
  <c r="AB21" i="13"/>
  <c r="Q21" i="13" s="1"/>
  <c r="AB22" i="13"/>
  <c r="Q22" i="13" s="1"/>
  <c r="AB19" i="13"/>
  <c r="Q19" i="13" s="1"/>
  <c r="AB18" i="13"/>
  <c r="Q18" i="13" s="1"/>
  <c r="N23" i="13"/>
  <c r="B16" i="13"/>
  <c r="I20" i="13"/>
  <c r="I21" i="13"/>
  <c r="I23" i="13"/>
  <c r="I22" i="13"/>
  <c r="I16" i="13"/>
  <c r="I17" i="13"/>
  <c r="I15" i="13"/>
  <c r="I13" i="13"/>
  <c r="I14" i="13"/>
  <c r="I18" i="13"/>
  <c r="Q155" i="4"/>
  <c r="Q156" i="4"/>
  <c r="Q157" i="4"/>
  <c r="Q158" i="4"/>
  <c r="Q159" i="4"/>
  <c r="Q160" i="4"/>
  <c r="Q161" i="4"/>
  <c r="Q162" i="4"/>
  <c r="Q163" i="4"/>
  <c r="Q164" i="4"/>
  <c r="Q165" i="4"/>
  <c r="Q166" i="4"/>
  <c r="Q167" i="4"/>
  <c r="Q168" i="4"/>
  <c r="Q169" i="4"/>
  <c r="Q170" i="4"/>
  <c r="Q171" i="4"/>
  <c r="Q173" i="4"/>
  <c r="Q174" i="4"/>
  <c r="Q175" i="4"/>
  <c r="Q176" i="4"/>
  <c r="Q177" i="4"/>
  <c r="Q178" i="4"/>
  <c r="R155" i="4"/>
  <c r="R156" i="4"/>
  <c r="R157" i="4"/>
  <c r="R158" i="4"/>
  <c r="R159" i="4"/>
  <c r="R160" i="4"/>
  <c r="R161" i="4"/>
  <c r="R162" i="4"/>
  <c r="R163" i="4"/>
  <c r="R164" i="4"/>
  <c r="R165" i="4"/>
  <c r="R166" i="4"/>
  <c r="R167" i="4"/>
  <c r="R168" i="4"/>
  <c r="R169" i="4"/>
  <c r="R170" i="4"/>
  <c r="R171" i="4"/>
  <c r="B253" i="13"/>
  <c r="B250" i="13"/>
  <c r="B249" i="13"/>
  <c r="B248" i="13"/>
  <c r="B247" i="13"/>
  <c r="B246" i="13"/>
  <c r="B243" i="13"/>
  <c r="B242" i="13"/>
  <c r="B241" i="13"/>
  <c r="B240" i="13"/>
  <c r="B227" i="13"/>
  <c r="B224" i="13"/>
  <c r="B223" i="13"/>
  <c r="B220" i="13"/>
  <c r="D220" i="13"/>
  <c r="E220" i="13"/>
  <c r="F220" i="13"/>
  <c r="D223" i="13"/>
  <c r="E223" i="13"/>
  <c r="F223" i="13"/>
  <c r="D224" i="13"/>
  <c r="E224" i="13"/>
  <c r="F224" i="13"/>
  <c r="D227" i="13"/>
  <c r="E227" i="13"/>
  <c r="F227" i="13"/>
  <c r="D240" i="13"/>
  <c r="E240" i="13"/>
  <c r="F240" i="13"/>
  <c r="D241" i="13"/>
  <c r="E241" i="13"/>
  <c r="F241" i="13"/>
  <c r="D242" i="13"/>
  <c r="E242" i="13"/>
  <c r="F242" i="13"/>
  <c r="D243" i="13"/>
  <c r="E243" i="13"/>
  <c r="F243" i="13"/>
  <c r="D246" i="13"/>
  <c r="E246" i="13"/>
  <c r="F246" i="13"/>
  <c r="D247" i="13"/>
  <c r="E247" i="13"/>
  <c r="F247" i="13"/>
  <c r="D248" i="13"/>
  <c r="E248" i="13"/>
  <c r="F248" i="13"/>
  <c r="D249" i="13"/>
  <c r="E249" i="13"/>
  <c r="F249" i="13"/>
  <c r="D250" i="13"/>
  <c r="E250" i="13"/>
  <c r="F250" i="13"/>
  <c r="D253" i="13"/>
  <c r="E253" i="13"/>
  <c r="F253" i="13"/>
  <c r="B47" i="13"/>
  <c r="B67" i="13"/>
  <c r="B98" i="13"/>
  <c r="B115" i="13"/>
  <c r="B164" i="13"/>
  <c r="B207" i="13"/>
  <c r="B206" i="13"/>
  <c r="B205" i="13"/>
  <c r="B204" i="13"/>
  <c r="B203" i="13"/>
  <c r="B201" i="13"/>
  <c r="B200" i="13"/>
  <c r="B199" i="13"/>
  <c r="B198" i="13"/>
  <c r="B197" i="13"/>
  <c r="B196" i="13"/>
  <c r="B195" i="13"/>
  <c r="I258" i="13"/>
  <c r="D196" i="13"/>
  <c r="E196" i="13"/>
  <c r="F196" i="13"/>
  <c r="D197" i="13"/>
  <c r="E197" i="13"/>
  <c r="F197" i="13"/>
  <c r="D198" i="13"/>
  <c r="E198" i="13"/>
  <c r="F198" i="13"/>
  <c r="D199" i="13"/>
  <c r="E199" i="13"/>
  <c r="F199" i="13"/>
  <c r="D200" i="13"/>
  <c r="E200" i="13"/>
  <c r="F200" i="13"/>
  <c r="D201" i="13"/>
  <c r="E201" i="13"/>
  <c r="F201" i="13"/>
  <c r="D202" i="13"/>
  <c r="E202" i="13"/>
  <c r="F202" i="13"/>
  <c r="D203" i="13"/>
  <c r="E203" i="13"/>
  <c r="F203" i="13"/>
  <c r="D204" i="13"/>
  <c r="E204" i="13"/>
  <c r="F204" i="13"/>
  <c r="D205" i="13"/>
  <c r="E205" i="13"/>
  <c r="F205" i="13"/>
  <c r="D206" i="13"/>
  <c r="E206" i="13"/>
  <c r="F206" i="13"/>
  <c r="D207" i="13"/>
  <c r="E207" i="13"/>
  <c r="F207" i="13"/>
  <c r="B208" i="13"/>
  <c r="B217" i="13"/>
  <c r="N21" i="13" s="1"/>
  <c r="F195" i="13"/>
  <c r="E195" i="13"/>
  <c r="D195" i="13"/>
  <c r="B182" i="13"/>
  <c r="B181" i="13"/>
  <c r="B180" i="13"/>
  <c r="B177" i="13"/>
  <c r="B176" i="13"/>
  <c r="B175" i="13"/>
  <c r="I242" i="13"/>
  <c r="D176" i="13"/>
  <c r="E176" i="13"/>
  <c r="F176" i="13"/>
  <c r="D177" i="13"/>
  <c r="E177" i="13"/>
  <c r="F177" i="13"/>
  <c r="D180" i="13"/>
  <c r="E180" i="13"/>
  <c r="F180" i="13"/>
  <c r="D181" i="13"/>
  <c r="E181" i="13"/>
  <c r="F181" i="13"/>
  <c r="D182" i="13"/>
  <c r="E182" i="13"/>
  <c r="F182" i="13"/>
  <c r="D158" i="13"/>
  <c r="E158" i="13"/>
  <c r="F158" i="13"/>
  <c r="Q97" i="4"/>
  <c r="B163" i="13"/>
  <c r="B162" i="13"/>
  <c r="B161" i="13"/>
  <c r="B155" i="13"/>
  <c r="B154" i="13"/>
  <c r="B142" i="13"/>
  <c r="B140" i="13"/>
  <c r="B139" i="13"/>
  <c r="B138" i="13"/>
  <c r="B137" i="13"/>
  <c r="B136" i="13"/>
  <c r="B135" i="13"/>
  <c r="B134" i="13"/>
  <c r="B133" i="13"/>
  <c r="B132" i="13"/>
  <c r="B131" i="13"/>
  <c r="B110" i="13"/>
  <c r="B127" i="13"/>
  <c r="B126" i="13"/>
  <c r="D127" i="13"/>
  <c r="E127" i="13"/>
  <c r="F127" i="13"/>
  <c r="Q65" i="4"/>
  <c r="R65" i="4"/>
  <c r="D133" i="13"/>
  <c r="E133" i="13"/>
  <c r="F133" i="13"/>
  <c r="D134" i="13"/>
  <c r="E134" i="13"/>
  <c r="F134" i="13"/>
  <c r="D135" i="13"/>
  <c r="E135" i="13"/>
  <c r="F135" i="13"/>
  <c r="D136" i="13"/>
  <c r="E136" i="13"/>
  <c r="F136" i="13"/>
  <c r="D137" i="13"/>
  <c r="E137" i="13"/>
  <c r="F137" i="13"/>
  <c r="D138" i="13"/>
  <c r="E138" i="13"/>
  <c r="F138" i="13"/>
  <c r="D139" i="13"/>
  <c r="E139" i="13"/>
  <c r="F139" i="13"/>
  <c r="D140" i="13"/>
  <c r="E140" i="13"/>
  <c r="F140" i="13"/>
  <c r="D141" i="13"/>
  <c r="E141" i="13"/>
  <c r="F141" i="13"/>
  <c r="D142" i="13"/>
  <c r="E142" i="13"/>
  <c r="F142" i="13"/>
  <c r="D154" i="13"/>
  <c r="E154" i="13"/>
  <c r="F154" i="13"/>
  <c r="D155" i="13"/>
  <c r="E155" i="13"/>
  <c r="F155" i="13"/>
  <c r="D156" i="13"/>
  <c r="E156" i="13"/>
  <c r="F156" i="13"/>
  <c r="D161" i="13"/>
  <c r="E161" i="13"/>
  <c r="F161" i="13"/>
  <c r="Q107" i="4"/>
  <c r="Q110" i="4"/>
  <c r="Q111" i="4"/>
  <c r="Q112" i="4"/>
  <c r="Q113" i="4"/>
  <c r="Q114" i="4"/>
  <c r="Q115" i="4"/>
  <c r="Q116" i="4"/>
  <c r="Q117" i="4"/>
  <c r="Q118" i="4"/>
  <c r="Q119" i="4"/>
  <c r="Q120" i="4"/>
  <c r="Q121" i="4"/>
  <c r="Q122" i="4"/>
  <c r="Q123" i="4"/>
  <c r="Q124" i="4"/>
  <c r="Q125" i="4"/>
  <c r="Q126" i="4"/>
  <c r="Q127" i="4"/>
  <c r="Q128" i="4"/>
  <c r="Q129" i="4"/>
  <c r="Q130" i="4"/>
  <c r="Q131" i="4"/>
  <c r="Q132" i="4"/>
  <c r="Q133" i="4"/>
  <c r="Q136" i="4"/>
  <c r="Q137" i="4"/>
  <c r="Q138" i="4"/>
  <c r="Q139" i="4"/>
  <c r="Q140" i="4"/>
  <c r="Q141" i="4"/>
  <c r="Q142" i="4"/>
  <c r="Q143" i="4"/>
  <c r="Q144" i="4"/>
  <c r="Q145" i="4"/>
  <c r="Q146" i="4"/>
  <c r="Q147" i="4"/>
  <c r="Q148" i="4"/>
  <c r="Q149" i="4"/>
  <c r="Q150" i="4"/>
  <c r="Q151" i="4"/>
  <c r="Q152" i="4"/>
  <c r="Q153" i="4"/>
  <c r="Q154" i="4"/>
  <c r="Q179" i="4"/>
  <c r="Q180" i="4"/>
  <c r="Q181" i="4"/>
  <c r="Q193" i="4"/>
  <c r="Q182" i="4"/>
  <c r="Q194" i="4"/>
  <c r="Q183" i="4"/>
  <c r="Q195" i="4"/>
  <c r="Q184" i="4"/>
  <c r="Q196" i="4"/>
  <c r="Q185" i="4"/>
  <c r="Q197" i="4"/>
  <c r="Q186" i="4"/>
  <c r="Q198" i="4"/>
  <c r="R122" i="4"/>
  <c r="R132" i="4"/>
  <c r="R133" i="4"/>
  <c r="R136" i="4"/>
  <c r="R137" i="4"/>
  <c r="R138" i="4"/>
  <c r="R139" i="4"/>
  <c r="R140" i="4"/>
  <c r="R141" i="4"/>
  <c r="R142" i="4"/>
  <c r="R143" i="4"/>
  <c r="R144" i="4"/>
  <c r="R145" i="4"/>
  <c r="R146" i="4"/>
  <c r="R147" i="4"/>
  <c r="R148" i="4"/>
  <c r="R149" i="4"/>
  <c r="R150" i="4"/>
  <c r="R151" i="4"/>
  <c r="R152" i="4"/>
  <c r="R153" i="4"/>
  <c r="R154" i="4"/>
  <c r="R179" i="4"/>
  <c r="R180" i="4"/>
  <c r="R181" i="4"/>
  <c r="R193" i="4"/>
  <c r="R182" i="4"/>
  <c r="R194" i="4"/>
  <c r="R183" i="4"/>
  <c r="R195" i="4"/>
  <c r="R184" i="4"/>
  <c r="R196" i="4"/>
  <c r="R185" i="4"/>
  <c r="R197" i="4"/>
  <c r="R186" i="4"/>
  <c r="R198" i="4"/>
  <c r="Q71" i="4"/>
  <c r="Q72" i="4"/>
  <c r="Q73" i="4"/>
  <c r="Q74" i="4"/>
  <c r="Q75" i="4"/>
  <c r="Q76" i="4"/>
  <c r="Q77" i="4"/>
  <c r="Q78" i="4"/>
  <c r="Q79" i="4"/>
  <c r="Q80" i="4"/>
  <c r="Q81" i="4"/>
  <c r="Q93" i="4"/>
  <c r="Q94" i="4"/>
  <c r="R76" i="4"/>
  <c r="R77" i="4"/>
  <c r="R78" i="4"/>
  <c r="R79" i="4"/>
  <c r="R81" i="4"/>
  <c r="B114" i="13"/>
  <c r="B113" i="13"/>
  <c r="B112" i="13"/>
  <c r="B111" i="13"/>
  <c r="B109" i="13"/>
  <c r="W128" i="13" l="1"/>
  <c r="W315" i="13"/>
  <c r="W380" i="13"/>
  <c r="W323" i="13"/>
  <c r="W428" i="13"/>
  <c r="W470" i="13"/>
  <c r="W415" i="13"/>
  <c r="W286" i="13"/>
  <c r="W358" i="13"/>
  <c r="W195" i="13"/>
  <c r="W373" i="13"/>
  <c r="W435" i="13"/>
  <c r="W264" i="13"/>
  <c r="D85" i="13"/>
  <c r="E85" i="13"/>
  <c r="F85" i="13"/>
  <c r="D86" i="13"/>
  <c r="E86" i="13"/>
  <c r="F86" i="13"/>
  <c r="D87" i="13"/>
  <c r="E87" i="13"/>
  <c r="F87" i="13"/>
  <c r="D88" i="13"/>
  <c r="E88" i="13"/>
  <c r="F88" i="13"/>
  <c r="D89" i="13"/>
  <c r="E89" i="13"/>
  <c r="F89" i="13"/>
  <c r="D90" i="13"/>
  <c r="E90" i="13"/>
  <c r="F90" i="13"/>
  <c r="D91" i="13"/>
  <c r="E91" i="13"/>
  <c r="F91" i="13"/>
  <c r="D92" i="13"/>
  <c r="E92" i="13"/>
  <c r="F92" i="13"/>
  <c r="D93" i="13"/>
  <c r="E93" i="13"/>
  <c r="F93" i="13"/>
  <c r="D94" i="13"/>
  <c r="E94" i="13"/>
  <c r="F94" i="13"/>
  <c r="D95" i="13"/>
  <c r="E95" i="13"/>
  <c r="F95" i="13"/>
  <c r="Q55" i="4"/>
  <c r="R55" i="4"/>
  <c r="Q46" i="4"/>
  <c r="Q47" i="4"/>
  <c r="Q48" i="4"/>
  <c r="Q49" i="4"/>
  <c r="Q50" i="4"/>
  <c r="Q51" i="4"/>
  <c r="Q52" i="4"/>
  <c r="Q53" i="4"/>
  <c r="Q54" i="4"/>
  <c r="Q45" i="4"/>
  <c r="B97" i="13"/>
  <c r="B96" i="13"/>
  <c r="H3" i="4" l="1"/>
  <c r="U7" i="2"/>
  <c r="U8" i="2"/>
  <c r="U9" i="2"/>
  <c r="U10" i="2"/>
  <c r="U11" i="2"/>
  <c r="U12" i="2"/>
  <c r="U13" i="2"/>
  <c r="U4" i="2"/>
  <c r="B84" i="13" l="1"/>
  <c r="B83" i="13"/>
  <c r="B82" i="13"/>
  <c r="B81" i="13"/>
  <c r="B80" i="13"/>
  <c r="B79" i="13"/>
  <c r="D79" i="13"/>
  <c r="E79" i="13"/>
  <c r="F79" i="13"/>
  <c r="D80" i="13"/>
  <c r="E80" i="13"/>
  <c r="F80" i="13"/>
  <c r="D81" i="13"/>
  <c r="E81" i="13"/>
  <c r="F81" i="13"/>
  <c r="D82" i="13"/>
  <c r="E82" i="13"/>
  <c r="F82" i="13"/>
  <c r="D83" i="13"/>
  <c r="E83" i="13"/>
  <c r="F83" i="13"/>
  <c r="D84" i="13"/>
  <c r="E84" i="13"/>
  <c r="F84" i="13"/>
  <c r="D96" i="13"/>
  <c r="E96" i="13"/>
  <c r="F96" i="13"/>
  <c r="D97" i="13"/>
  <c r="E97" i="13"/>
  <c r="F97" i="13"/>
  <c r="I65" i="13"/>
  <c r="Q39" i="4"/>
  <c r="R39" i="4"/>
  <c r="Q40" i="4"/>
  <c r="R40" i="4"/>
  <c r="Q41" i="4"/>
  <c r="R41" i="4"/>
  <c r="Q56" i="4"/>
  <c r="Q57" i="4"/>
  <c r="Q58" i="4"/>
  <c r="Q59" i="4"/>
  <c r="Q60" i="4"/>
  <c r="Q61" i="4"/>
  <c r="Q62" i="4"/>
  <c r="Q63" i="4"/>
  <c r="Q64" i="4"/>
  <c r="Q66" i="4"/>
  <c r="Q67" i="4"/>
  <c r="Q68" i="4"/>
  <c r="Q70" i="4"/>
  <c r="Q95" i="4"/>
  <c r="Q100" i="4"/>
  <c r="Q103" i="4"/>
  <c r="Q104" i="4"/>
  <c r="Q105" i="4"/>
  <c r="Q106" i="4"/>
  <c r="Q187" i="4"/>
  <c r="Q199" i="4"/>
  <c r="Q188" i="4"/>
  <c r="Q200" i="4"/>
  <c r="Q189" i="4"/>
  <c r="Q201" i="4"/>
  <c r="Q190" i="4"/>
  <c r="R56" i="4"/>
  <c r="R57" i="4"/>
  <c r="R61" i="4"/>
  <c r="R62" i="4"/>
  <c r="R64" i="4"/>
  <c r="R66" i="4"/>
  <c r="R70" i="4"/>
  <c r="R100" i="4"/>
  <c r="R103" i="4"/>
  <c r="R104" i="4"/>
  <c r="R105" i="4"/>
  <c r="R106" i="4"/>
  <c r="R187" i="4"/>
  <c r="R199" i="4"/>
  <c r="R188" i="4"/>
  <c r="R200" i="4"/>
  <c r="R189" i="4"/>
  <c r="R201" i="4"/>
  <c r="R190" i="4"/>
  <c r="B58" i="13"/>
  <c r="B60" i="13"/>
  <c r="B40" i="13"/>
  <c r="B39" i="13"/>
  <c r="B46" i="13"/>
  <c r="B22" i="13"/>
  <c r="B21" i="13"/>
  <c r="B20" i="13"/>
  <c r="B36" i="13"/>
  <c r="N13" i="13" s="1"/>
  <c r="X29" i="13"/>
  <c r="B24" i="13" l="1"/>
  <c r="B20" i="11" l="1"/>
  <c r="B18" i="11"/>
  <c r="B16" i="11"/>
  <c r="B15" i="11"/>
  <c r="B19" i="11"/>
  <c r="B17" i="11"/>
  <c r="B193" i="13"/>
  <c r="N20" i="13" s="1"/>
  <c r="B173" i="13"/>
  <c r="N18" i="13" s="1"/>
  <c r="B124" i="13"/>
  <c r="N17" i="13" s="1"/>
  <c r="B107" i="13"/>
  <c r="N16" i="13" s="1"/>
  <c r="B76" i="13"/>
  <c r="N15" i="13" s="1"/>
  <c r="B56" i="13"/>
  <c r="N14" i="13" s="1"/>
  <c r="F310" i="13" l="1"/>
  <c r="E310" i="13"/>
  <c r="D13" i="3"/>
  <c r="V38" i="4" s="1"/>
  <c r="D7" i="3"/>
  <c r="D4" i="3"/>
  <c r="H9" i="4" s="1"/>
  <c r="B6" i="15" l="1"/>
  <c r="H6" i="11"/>
  <c r="I68" i="13"/>
  <c r="I70" i="15"/>
  <c r="B3" i="7"/>
  <c r="F78" i="13" l="1"/>
  <c r="F78" i="15"/>
  <c r="I52" i="13"/>
  <c r="I92" i="13"/>
  <c r="I106" i="13"/>
  <c r="I291" i="13"/>
  <c r="I39" i="13"/>
  <c r="I27" i="13"/>
  <c r="B66" i="13"/>
  <c r="F126" i="13"/>
  <c r="W203" i="13" s="1"/>
  <c r="D162" i="13"/>
  <c r="E162" i="13"/>
  <c r="F162" i="13"/>
  <c r="W218" i="13" s="1"/>
  <c r="F175" i="13"/>
  <c r="E175" i="13"/>
  <c r="D175" i="13"/>
  <c r="F131" i="13"/>
  <c r="W113" i="13" s="1"/>
  <c r="E131" i="13"/>
  <c r="D131" i="13"/>
  <c r="F163" i="13"/>
  <c r="W231" i="13" s="1"/>
  <c r="E163" i="13"/>
  <c r="D163" i="13"/>
  <c r="F132" i="13"/>
  <c r="E132" i="13"/>
  <c r="D132" i="13"/>
  <c r="F129" i="13"/>
  <c r="E129" i="13"/>
  <c r="D129" i="13"/>
  <c r="F128" i="13"/>
  <c r="E128" i="13"/>
  <c r="D128" i="13"/>
  <c r="E126" i="13"/>
  <c r="D126" i="13"/>
  <c r="F114" i="13"/>
  <c r="E114" i="13"/>
  <c r="F113" i="13"/>
  <c r="E113" i="13"/>
  <c r="F112" i="13"/>
  <c r="E112" i="13"/>
  <c r="F111" i="13"/>
  <c r="E111" i="13"/>
  <c r="F110" i="13"/>
  <c r="E110" i="13"/>
  <c r="F109" i="13"/>
  <c r="E109" i="13"/>
  <c r="B65" i="13"/>
  <c r="B64" i="13"/>
  <c r="B63" i="13"/>
  <c r="B62" i="13"/>
  <c r="B61" i="13"/>
  <c r="B59" i="13"/>
  <c r="F65" i="13"/>
  <c r="E65" i="13"/>
  <c r="F64" i="13"/>
  <c r="E64" i="13"/>
  <c r="F63" i="13"/>
  <c r="E63" i="13"/>
  <c r="F62" i="13"/>
  <c r="E62" i="13"/>
  <c r="F61" i="13"/>
  <c r="E61" i="13"/>
  <c r="F66" i="13"/>
  <c r="E66" i="13"/>
  <c r="F60" i="13"/>
  <c r="E60" i="13"/>
  <c r="F59" i="13"/>
  <c r="E59" i="13"/>
  <c r="F58" i="13"/>
  <c r="E58" i="13"/>
  <c r="B45" i="13"/>
  <c r="B44" i="13"/>
  <c r="B43" i="13"/>
  <c r="B42" i="13"/>
  <c r="B41" i="13"/>
  <c r="E39" i="13"/>
  <c r="F39" i="13"/>
  <c r="E40" i="13"/>
  <c r="F40" i="13"/>
  <c r="E46" i="13"/>
  <c r="F46" i="13"/>
  <c r="E41" i="13"/>
  <c r="F41" i="13"/>
  <c r="E42" i="13"/>
  <c r="F42" i="13"/>
  <c r="E43" i="13"/>
  <c r="F43" i="13"/>
  <c r="E44" i="13"/>
  <c r="F44" i="13"/>
  <c r="Q9" i="4"/>
  <c r="W8" i="4"/>
  <c r="L8" i="4" s="1"/>
  <c r="Q8" i="4"/>
  <c r="Q43" i="4" l="1"/>
  <c r="Q44" i="4"/>
  <c r="Q42" i="4"/>
  <c r="Q38" i="4"/>
  <c r="Q4" i="4" l="1"/>
  <c r="Q5" i="4"/>
  <c r="Q6" i="4"/>
  <c r="Q7" i="4"/>
  <c r="F45" i="13"/>
  <c r="F38" i="13"/>
  <c r="F20" i="13"/>
  <c r="F21" i="13"/>
  <c r="F22" i="13"/>
  <c r="F23" i="13"/>
  <c r="F24" i="13"/>
  <c r="F25" i="13"/>
  <c r="F19" i="13"/>
  <c r="E45" i="13"/>
  <c r="E38" i="13"/>
  <c r="E25" i="13"/>
  <c r="E24" i="13"/>
  <c r="E23" i="13"/>
  <c r="E22" i="13"/>
  <c r="E21" i="13"/>
  <c r="E20" i="13"/>
  <c r="E19" i="13"/>
  <c r="Q29" i="4"/>
  <c r="Q30" i="4"/>
  <c r="Q31" i="4"/>
  <c r="Q37" i="4"/>
  <c r="Q32" i="4"/>
  <c r="Q33" i="4"/>
  <c r="Q34" i="4"/>
  <c r="Q35" i="4"/>
  <c r="Q36" i="4"/>
  <c r="R29" i="4"/>
  <c r="R30" i="4"/>
  <c r="R31" i="4"/>
  <c r="R37" i="4"/>
  <c r="R32" i="4"/>
  <c r="R33" i="4"/>
  <c r="R34" i="4"/>
  <c r="R35" i="4"/>
  <c r="R36" i="4"/>
  <c r="B38" i="13"/>
  <c r="Q27" i="4" l="1"/>
  <c r="R27" i="4"/>
  <c r="Q26" i="4"/>
  <c r="R26" i="4"/>
  <c r="Q25" i="4"/>
  <c r="R25" i="4"/>
  <c r="Q24" i="4"/>
  <c r="R24" i="4"/>
  <c r="Q23" i="4"/>
  <c r="R23" i="4"/>
  <c r="Q28" i="4"/>
  <c r="R28" i="4"/>
  <c r="Q22" i="4"/>
  <c r="R22" i="4"/>
  <c r="Q21" i="4"/>
  <c r="R21" i="4"/>
  <c r="R20" i="4" l="1"/>
  <c r="B25" i="13"/>
  <c r="R17" i="4"/>
  <c r="B23" i="13"/>
  <c r="R13" i="4"/>
  <c r="R14" i="4"/>
  <c r="R16" i="4"/>
  <c r="R18" i="4"/>
  <c r="R12" i="4"/>
  <c r="B3" i="11"/>
  <c r="B7" i="13"/>
  <c r="R10" i="4"/>
  <c r="R11" i="4"/>
  <c r="R9" i="13"/>
  <c r="N9" i="13"/>
  <c r="J9" i="13"/>
  <c r="B19" i="13"/>
  <c r="B8" i="11"/>
  <c r="B13" i="11" s="1"/>
  <c r="I8" i="11" s="1"/>
  <c r="B2" i="11" l="1"/>
  <c r="B12" i="11"/>
  <c r="B10" i="11"/>
  <c r="B11" i="11" s="1"/>
  <c r="B6" i="13"/>
  <c r="K8" i="11" l="1"/>
  <c r="J9" i="4" l="1"/>
  <c r="T9" i="4"/>
  <c r="W9" i="4" s="1"/>
  <c r="L9" i="4" s="1"/>
  <c r="M9" i="4" l="1"/>
  <c r="A2" i="5" s="1"/>
  <c r="T3" i="4"/>
  <c r="W3" i="4" s="1"/>
  <c r="L3" i="4" s="1"/>
  <c r="J3" i="4"/>
  <c r="D61" i="13" l="1"/>
  <c r="D62" i="13"/>
  <c r="D46" i="13"/>
  <c r="D66" i="13"/>
  <c r="D41" i="13"/>
  <c r="D58" i="13"/>
  <c r="D60" i="13"/>
  <c r="D43" i="13"/>
  <c r="D42" i="13"/>
  <c r="D63" i="13"/>
  <c r="D39" i="13"/>
  <c r="D59" i="13"/>
  <c r="D40" i="13"/>
  <c r="M3" i="4"/>
  <c r="D24" i="13" l="1"/>
  <c r="D20" i="13"/>
  <c r="D23" i="13"/>
  <c r="D19" i="13"/>
  <c r="D22" i="13"/>
  <c r="D21" i="13"/>
  <c r="D25" i="13"/>
  <c r="D38" i="13"/>
  <c r="D44" i="13"/>
  <c r="D64" i="13"/>
  <c r="W4" i="4" l="1"/>
  <c r="L4" i="4" s="1"/>
  <c r="W5" i="4"/>
  <c r="L5" i="4" s="1"/>
  <c r="W6" i="4"/>
  <c r="L6" i="4" s="1"/>
  <c r="W7" i="4"/>
  <c r="L7" i="4" s="1"/>
  <c r="W58" i="4" l="1"/>
  <c r="L58" i="4" s="1"/>
  <c r="W52" i="4"/>
  <c r="L52" i="4" s="1"/>
  <c r="W51" i="4"/>
  <c r="L51" i="4" s="1"/>
  <c r="W50" i="4"/>
  <c r="L50" i="4" s="1"/>
  <c r="W49" i="4"/>
  <c r="L49" i="4" s="1"/>
  <c r="W48" i="4"/>
  <c r="L48" i="4" s="1"/>
  <c r="D113" i="13"/>
  <c r="D110" i="13"/>
  <c r="D112" i="13"/>
  <c r="D109" i="13"/>
  <c r="D114" i="13"/>
  <c r="D111" i="13"/>
  <c r="W63" i="4"/>
  <c r="L63" i="4" s="1"/>
  <c r="W59" i="4"/>
  <c r="L59" i="4" s="1"/>
  <c r="W47" i="4"/>
  <c r="L47" i="4" s="1"/>
  <c r="W46" i="4"/>
  <c r="L46" i="4" s="1"/>
  <c r="W54" i="4"/>
  <c r="L54" i="4" s="1"/>
  <c r="W53" i="4"/>
  <c r="L53" i="4" s="1"/>
  <c r="W60" i="4"/>
  <c r="L60" i="4" s="1"/>
  <c r="W45" i="4"/>
  <c r="L45" i="4" s="1"/>
  <c r="N9" i="4"/>
  <c r="Y9" i="4" s="1"/>
  <c r="P9" i="4" l="1"/>
  <c r="O9" i="4"/>
  <c r="N5" i="4"/>
  <c r="Y5" i="4" l="1"/>
  <c r="O5" i="4"/>
  <c r="P5" i="4"/>
  <c r="N7" i="4"/>
  <c r="Y7" i="4" l="1"/>
  <c r="O7" i="4"/>
  <c r="P7" i="4"/>
  <c r="N6" i="4"/>
  <c r="O6" i="4" l="1"/>
  <c r="Y6" i="4"/>
  <c r="P6" i="4"/>
  <c r="N4" i="4"/>
  <c r="O4" i="4" s="1"/>
  <c r="Y4" i="4" l="1"/>
  <c r="P4" i="4"/>
  <c r="N8" i="4"/>
  <c r="P8" i="4" l="1"/>
  <c r="O8" i="4"/>
  <c r="Y8" i="4"/>
  <c r="N3" i="4"/>
  <c r="P3" i="4" l="1"/>
  <c r="O3" i="4"/>
  <c r="Y3" i="4"/>
  <c r="H10" i="4"/>
  <c r="C336" i="4" l="1"/>
  <c r="C335" i="4"/>
  <c r="C334" i="4"/>
  <c r="C333" i="4"/>
  <c r="C328" i="4"/>
  <c r="C329" i="4"/>
  <c r="C310" i="4"/>
  <c r="C309" i="4"/>
  <c r="C312" i="4"/>
  <c r="C314" i="4"/>
  <c r="C316" i="4"/>
  <c r="C318" i="4"/>
  <c r="C320" i="4"/>
  <c r="C322" i="4"/>
  <c r="C324" i="4"/>
  <c r="C326" i="4"/>
  <c r="C330" i="4"/>
  <c r="C332" i="4"/>
  <c r="C308" i="4"/>
  <c r="C311" i="4"/>
  <c r="C313" i="4"/>
  <c r="C315" i="4"/>
  <c r="C317" i="4"/>
  <c r="C319" i="4"/>
  <c r="C321" i="4"/>
  <c r="C323" i="4"/>
  <c r="C325" i="4"/>
  <c r="C327" i="4"/>
  <c r="C331" i="4"/>
  <c r="C307" i="4"/>
  <c r="C135" i="4"/>
  <c r="C134" i="4"/>
  <c r="C99" i="4"/>
  <c r="C98" i="4"/>
  <c r="C96" i="4"/>
  <c r="C82" i="4"/>
  <c r="C83" i="4"/>
  <c r="C84" i="4"/>
  <c r="C85" i="4"/>
  <c r="C86" i="4"/>
  <c r="C297" i="4"/>
  <c r="C298" i="4"/>
  <c r="C299" i="4"/>
  <c r="C303" i="4"/>
  <c r="C300" i="4"/>
  <c r="C301" i="4"/>
  <c r="C302" i="4"/>
  <c r="C295" i="4"/>
  <c r="C296" i="4"/>
  <c r="C87" i="4"/>
  <c r="C90" i="4"/>
  <c r="C92" i="4"/>
  <c r="C88" i="4"/>
  <c r="C89" i="4"/>
  <c r="C91" i="4"/>
  <c r="C108" i="4"/>
  <c r="C109" i="4"/>
  <c r="C306" i="4"/>
  <c r="C205" i="4"/>
  <c r="C259" i="4"/>
  <c r="C15" i="4"/>
  <c r="C69" i="4"/>
  <c r="C102" i="4"/>
  <c r="C101" i="4"/>
  <c r="C204" i="4"/>
  <c r="C203" i="4"/>
  <c r="C192" i="4"/>
  <c r="C191" i="4"/>
  <c r="C215" i="4"/>
  <c r="C228" i="4"/>
  <c r="C227" i="4"/>
  <c r="C216" i="4"/>
  <c r="C305" i="4"/>
  <c r="C304" i="4"/>
  <c r="C294" i="4"/>
  <c r="C293" i="4"/>
  <c r="C292" i="4"/>
  <c r="C291" i="4"/>
  <c r="C290" i="4"/>
  <c r="C289" i="4"/>
  <c r="C212" i="4"/>
  <c r="C288" i="4"/>
  <c r="C284" i="4"/>
  <c r="C280" i="4"/>
  <c r="C276" i="4"/>
  <c r="C272" i="4"/>
  <c r="C268" i="4"/>
  <c r="C264" i="4"/>
  <c r="C260" i="4"/>
  <c r="C285" i="4"/>
  <c r="C281" i="4"/>
  <c r="C277" i="4"/>
  <c r="C273" i="4"/>
  <c r="C269" i="4"/>
  <c r="C265" i="4"/>
  <c r="C261" i="4"/>
  <c r="C286" i="4"/>
  <c r="C282" i="4"/>
  <c r="C278" i="4"/>
  <c r="C274" i="4"/>
  <c r="C270" i="4"/>
  <c r="C266" i="4"/>
  <c r="C262" i="4"/>
  <c r="C287" i="4"/>
  <c r="C283" i="4"/>
  <c r="C279" i="4"/>
  <c r="C275" i="4"/>
  <c r="C271" i="4"/>
  <c r="C267" i="4"/>
  <c r="C263" i="4"/>
  <c r="C258" i="4"/>
  <c r="C257" i="4"/>
  <c r="C256" i="4"/>
  <c r="C252" i="4"/>
  <c r="C253" i="4"/>
  <c r="C254" i="4"/>
  <c r="C250" i="4"/>
  <c r="C255" i="4"/>
  <c r="C251" i="4"/>
  <c r="C246" i="4"/>
  <c r="C242" i="4"/>
  <c r="C247" i="4"/>
  <c r="C243" i="4"/>
  <c r="C248" i="4"/>
  <c r="C244" i="4"/>
  <c r="C249" i="4"/>
  <c r="C245" i="4"/>
  <c r="C240" i="4"/>
  <c r="C241" i="4"/>
  <c r="C239" i="4"/>
  <c r="C238" i="4"/>
  <c r="C237" i="4"/>
  <c r="C236" i="4"/>
  <c r="C213" i="4"/>
  <c r="C219" i="4"/>
  <c r="C223" i="4"/>
  <c r="C229" i="4"/>
  <c r="C233" i="4"/>
  <c r="C211" i="4"/>
  <c r="C218" i="4"/>
  <c r="C222" i="4"/>
  <c r="C226" i="4"/>
  <c r="C232" i="4"/>
  <c r="C210" i="4"/>
  <c r="C217" i="4"/>
  <c r="C221" i="4"/>
  <c r="C225" i="4"/>
  <c r="C231" i="4"/>
  <c r="C235" i="4"/>
  <c r="C209" i="4"/>
  <c r="C214" i="4"/>
  <c r="C220" i="4"/>
  <c r="C224" i="4"/>
  <c r="C230" i="4"/>
  <c r="C234" i="4"/>
  <c r="C208" i="4"/>
  <c r="C207" i="4"/>
  <c r="C206" i="4"/>
  <c r="C182" i="4"/>
  <c r="C184" i="4"/>
  <c r="C186" i="4"/>
  <c r="C188" i="4"/>
  <c r="C190" i="4"/>
  <c r="C193" i="4"/>
  <c r="C195" i="4"/>
  <c r="C197" i="4"/>
  <c r="C199" i="4"/>
  <c r="C201" i="4"/>
  <c r="C181" i="4"/>
  <c r="C183" i="4"/>
  <c r="C185" i="4"/>
  <c r="C187" i="4"/>
  <c r="C189" i="4"/>
  <c r="C180" i="4"/>
  <c r="C194" i="4"/>
  <c r="C196" i="4"/>
  <c r="C198" i="4"/>
  <c r="C200" i="4"/>
  <c r="C202" i="4"/>
  <c r="C179" i="4"/>
  <c r="C172" i="4"/>
  <c r="C159" i="4"/>
  <c r="C163" i="4"/>
  <c r="C167" i="4"/>
  <c r="C171" i="4"/>
  <c r="C176" i="4"/>
  <c r="C158" i="4"/>
  <c r="C162" i="4"/>
  <c r="C166" i="4"/>
  <c r="C170" i="4"/>
  <c r="C175" i="4"/>
  <c r="C157" i="4"/>
  <c r="C161" i="4"/>
  <c r="C165" i="4"/>
  <c r="C169" i="4"/>
  <c r="C174" i="4"/>
  <c r="C178" i="4"/>
  <c r="C156" i="4"/>
  <c r="C160" i="4"/>
  <c r="C164" i="4"/>
  <c r="C168" i="4"/>
  <c r="C173" i="4"/>
  <c r="C177" i="4"/>
  <c r="C155" i="4"/>
  <c r="C138" i="4"/>
  <c r="C142" i="4"/>
  <c r="C146" i="4"/>
  <c r="C150" i="4"/>
  <c r="C154" i="4"/>
  <c r="C137" i="4"/>
  <c r="C141" i="4"/>
  <c r="C145" i="4"/>
  <c r="C149" i="4"/>
  <c r="C153" i="4"/>
  <c r="C136" i="4"/>
  <c r="C140" i="4"/>
  <c r="C144" i="4"/>
  <c r="C148" i="4"/>
  <c r="C152" i="4"/>
  <c r="C133" i="4"/>
  <c r="C139" i="4"/>
  <c r="C143" i="4"/>
  <c r="C147" i="4"/>
  <c r="C151" i="4"/>
  <c r="C132" i="4"/>
  <c r="C131" i="4"/>
  <c r="C130" i="4"/>
  <c r="C123" i="4"/>
  <c r="C127" i="4"/>
  <c r="C122" i="4"/>
  <c r="C126" i="4"/>
  <c r="C121" i="4"/>
  <c r="C125" i="4"/>
  <c r="C129" i="4"/>
  <c r="C120" i="4"/>
  <c r="C124" i="4"/>
  <c r="C128" i="4"/>
  <c r="C119" i="4"/>
  <c r="C113" i="4"/>
  <c r="C118" i="4"/>
  <c r="C111" i="4"/>
  <c r="C115" i="4"/>
  <c r="C110" i="4"/>
  <c r="C114" i="4"/>
  <c r="C107" i="4"/>
  <c r="C117" i="4"/>
  <c r="C106" i="4"/>
  <c r="C112" i="4"/>
  <c r="C116" i="4"/>
  <c r="C105" i="4"/>
  <c r="C97" i="4"/>
  <c r="C65" i="4"/>
  <c r="C16" i="4"/>
  <c r="C21" i="4"/>
  <c r="C25" i="4"/>
  <c r="C29" i="4"/>
  <c r="C33" i="4"/>
  <c r="C37" i="4"/>
  <c r="C41" i="4"/>
  <c r="C45" i="4"/>
  <c r="C49" i="4"/>
  <c r="C53" i="4"/>
  <c r="C57" i="4"/>
  <c r="C61" i="4"/>
  <c r="C66" i="4"/>
  <c r="C71" i="4"/>
  <c r="C75" i="4"/>
  <c r="C79" i="4"/>
  <c r="C94" i="4"/>
  <c r="C104" i="4"/>
  <c r="C14" i="4"/>
  <c r="C20" i="4"/>
  <c r="C24" i="4"/>
  <c r="C28" i="4"/>
  <c r="C32" i="4"/>
  <c r="C36" i="4"/>
  <c r="C40" i="4"/>
  <c r="C44" i="4"/>
  <c r="C48" i="4"/>
  <c r="C52" i="4"/>
  <c r="C56" i="4"/>
  <c r="C60" i="4"/>
  <c r="C64" i="4"/>
  <c r="C70" i="4"/>
  <c r="C74" i="4"/>
  <c r="C78" i="4"/>
  <c r="C93" i="4"/>
  <c r="C103" i="4"/>
  <c r="C13" i="4"/>
  <c r="C18" i="4"/>
  <c r="C23" i="4"/>
  <c r="C27" i="4"/>
  <c r="C31" i="4"/>
  <c r="C35" i="4"/>
  <c r="C39" i="4"/>
  <c r="C43" i="4"/>
  <c r="C47" i="4"/>
  <c r="C51" i="4"/>
  <c r="C55" i="4"/>
  <c r="C59" i="4"/>
  <c r="C63" i="4"/>
  <c r="C68" i="4"/>
  <c r="C73" i="4"/>
  <c r="C77" i="4"/>
  <c r="C81" i="4"/>
  <c r="C100" i="4"/>
  <c r="C12" i="4"/>
  <c r="C17" i="4"/>
  <c r="C22" i="4"/>
  <c r="C26" i="4"/>
  <c r="C30" i="4"/>
  <c r="C34" i="4"/>
  <c r="C38" i="4"/>
  <c r="C42" i="4"/>
  <c r="C46" i="4"/>
  <c r="C50" i="4"/>
  <c r="C54" i="4"/>
  <c r="C58" i="4"/>
  <c r="C62" i="4"/>
  <c r="C67" i="4"/>
  <c r="C72" i="4"/>
  <c r="C76" i="4"/>
  <c r="C80" i="4"/>
  <c r="C95" i="4"/>
  <c r="C11" i="4"/>
  <c r="J10" i="4"/>
  <c r="I10" i="4"/>
  <c r="T10" i="4"/>
  <c r="W10" i="4" s="1"/>
  <c r="H181" i="4"/>
  <c r="H197" i="4"/>
  <c r="H183" i="4"/>
  <c r="H276" i="4"/>
  <c r="H11" i="4"/>
  <c r="H139" i="4"/>
  <c r="H199" i="4"/>
  <c r="H173" i="4"/>
  <c r="H266" i="4"/>
  <c r="H213" i="4"/>
  <c r="H163" i="4"/>
  <c r="H44" i="4"/>
  <c r="H212" i="4"/>
  <c r="H23" i="4"/>
  <c r="H284" i="4"/>
  <c r="H195" i="4"/>
  <c r="H267" i="4"/>
  <c r="H219" i="4"/>
  <c r="H268" i="4"/>
  <c r="H69" i="4"/>
  <c r="H13" i="4"/>
  <c r="H171" i="4"/>
  <c r="H297" i="4"/>
  <c r="H28" i="4"/>
  <c r="H286" i="4"/>
  <c r="H56" i="4"/>
  <c r="H152" i="4"/>
  <c r="H170" i="4"/>
  <c r="H21" i="4"/>
  <c r="H68" i="4"/>
  <c r="H14" i="4"/>
  <c r="H182" i="4"/>
  <c r="H153" i="4"/>
  <c r="H285" i="4"/>
  <c r="H258" i="4"/>
  <c r="H190" i="4"/>
  <c r="H189" i="4"/>
  <c r="H34" i="4"/>
  <c r="H31" i="4"/>
  <c r="H262" i="4"/>
  <c r="H38" i="4"/>
  <c r="H18" i="4"/>
  <c r="H306" i="4"/>
  <c r="H180" i="4"/>
  <c r="H198" i="4"/>
  <c r="H16" i="4"/>
  <c r="H25" i="4"/>
  <c r="H22" i="4"/>
  <c r="H158" i="4"/>
  <c r="H166" i="4"/>
  <c r="H159" i="4"/>
  <c r="H26" i="4"/>
  <c r="H304" i="4"/>
  <c r="H200" i="4"/>
  <c r="H37" i="4"/>
  <c r="H39" i="4"/>
  <c r="H169" i="4"/>
  <c r="H24" i="4"/>
  <c r="H188" i="4"/>
  <c r="H260" i="4"/>
  <c r="H165" i="4"/>
  <c r="H85" i="4"/>
  <c r="H185" i="4"/>
  <c r="H33" i="4"/>
  <c r="H299" i="4"/>
  <c r="H30" i="4"/>
  <c r="H43" i="4"/>
  <c r="H86" i="4"/>
  <c r="H64" i="4"/>
  <c r="H146" i="4"/>
  <c r="H207" i="4"/>
  <c r="H35" i="4"/>
  <c r="H263" i="4"/>
  <c r="H109" i="4"/>
  <c r="H138" i="4"/>
  <c r="H194" i="4"/>
  <c r="H42" i="4"/>
  <c r="H186" i="4"/>
  <c r="H202" i="4"/>
  <c r="H108" i="4"/>
  <c r="H32" i="4"/>
  <c r="H261" i="4"/>
  <c r="H210" i="4"/>
  <c r="H184" i="4"/>
  <c r="H187" i="4"/>
  <c r="H145" i="4"/>
  <c r="H36" i="4"/>
  <c r="H17" i="4"/>
  <c r="H12" i="4"/>
  <c r="H289" i="4"/>
  <c r="H287" i="4"/>
  <c r="H220" i="4"/>
  <c r="H201" i="4"/>
  <c r="H196" i="4"/>
  <c r="H164" i="4"/>
  <c r="H29" i="4"/>
  <c r="H27" i="4"/>
  <c r="H293" i="4"/>
  <c r="H193" i="4"/>
  <c r="H167" i="4"/>
  <c r="H20" i="4"/>
  <c r="F286" i="4" l="1"/>
  <c r="F283" i="4"/>
  <c r="H335" i="4"/>
  <c r="B566" i="15" s="1"/>
  <c r="U826" i="15" s="1"/>
  <c r="F301" i="4"/>
  <c r="F298" i="4"/>
  <c r="I109" i="4"/>
  <c r="Z109" i="4" s="1"/>
  <c r="H15" i="4"/>
  <c r="H259" i="4" s="1"/>
  <c r="B468" i="13" s="1"/>
  <c r="I38" i="4"/>
  <c r="I18" i="4"/>
  <c r="F262" i="4"/>
  <c r="F215" i="4"/>
  <c r="F216" i="4"/>
  <c r="T297" i="4"/>
  <c r="W297" i="4" s="1"/>
  <c r="L297" i="4" s="1"/>
  <c r="J297" i="4"/>
  <c r="J304" i="4"/>
  <c r="T304" i="4"/>
  <c r="J299" i="4"/>
  <c r="T299" i="4"/>
  <c r="T293" i="4"/>
  <c r="J293" i="4"/>
  <c r="T291" i="4"/>
  <c r="J291" i="4"/>
  <c r="F223" i="4"/>
  <c r="F219" i="4"/>
  <c r="F212" i="4"/>
  <c r="F269" i="4"/>
  <c r="F267" i="4"/>
  <c r="F266" i="4"/>
  <c r="F265" i="4"/>
  <c r="F264" i="4"/>
  <c r="J44" i="4"/>
  <c r="T44" i="4"/>
  <c r="W44" i="4" s="1"/>
  <c r="J24" i="4"/>
  <c r="T24" i="4"/>
  <c r="W24" i="4" s="1"/>
  <c r="L24" i="4" s="1"/>
  <c r="J33" i="4"/>
  <c r="T33" i="4"/>
  <c r="W33" i="4" s="1"/>
  <c r="L33" i="4" s="1"/>
  <c r="J16" i="4"/>
  <c r="I16" i="4"/>
  <c r="T16" i="4"/>
  <c r="W16" i="4" s="1"/>
  <c r="J34" i="4"/>
  <c r="T34" i="4"/>
  <c r="W34" i="4" s="1"/>
  <c r="L34" i="4" s="1"/>
  <c r="J17" i="4"/>
  <c r="T17" i="4"/>
  <c r="W17" i="4" s="1"/>
  <c r="I17" i="4"/>
  <c r="J31" i="4"/>
  <c r="T31" i="4"/>
  <c r="W31" i="4" s="1"/>
  <c r="L31" i="4" s="1"/>
  <c r="T13" i="4"/>
  <c r="W13" i="4" s="1"/>
  <c r="L13" i="4" s="1"/>
  <c r="J13" i="4"/>
  <c r="J28" i="4"/>
  <c r="T28" i="4"/>
  <c r="W28" i="4" s="1"/>
  <c r="L28" i="4" s="1"/>
  <c r="J37" i="4"/>
  <c r="T37" i="4"/>
  <c r="W37" i="4" s="1"/>
  <c r="L37" i="4" s="1"/>
  <c r="J21" i="4"/>
  <c r="T21" i="4"/>
  <c r="W21" i="4" s="1"/>
  <c r="L21" i="4" s="1"/>
  <c r="J38" i="4"/>
  <c r="T38" i="4"/>
  <c r="W38" i="4" s="1"/>
  <c r="J22" i="4"/>
  <c r="T22" i="4"/>
  <c r="W22" i="4" s="1"/>
  <c r="L22" i="4" s="1"/>
  <c r="J35" i="4"/>
  <c r="I35" i="4"/>
  <c r="T35" i="4"/>
  <c r="W35" i="4" s="1"/>
  <c r="J18" i="4"/>
  <c r="T18" i="4"/>
  <c r="W18" i="4" s="1"/>
  <c r="J32" i="4"/>
  <c r="T32" i="4"/>
  <c r="W32" i="4" s="1"/>
  <c r="L32" i="4" s="1"/>
  <c r="J14" i="4"/>
  <c r="T14" i="4"/>
  <c r="W14" i="4" s="1"/>
  <c r="L14" i="4" s="1"/>
  <c r="J25" i="4"/>
  <c r="T25" i="4"/>
  <c r="W25" i="4" s="1"/>
  <c r="L25" i="4" s="1"/>
  <c r="J42" i="4"/>
  <c r="T42" i="4"/>
  <c r="W42" i="4" s="1"/>
  <c r="I26" i="4"/>
  <c r="J26" i="4"/>
  <c r="T26" i="4"/>
  <c r="W26" i="4" s="1"/>
  <c r="J43" i="4"/>
  <c r="T43" i="4"/>
  <c r="W43" i="4" s="1"/>
  <c r="J23" i="4"/>
  <c r="T23" i="4"/>
  <c r="W23" i="4" s="1"/>
  <c r="L23" i="4" s="1"/>
  <c r="I36" i="4"/>
  <c r="J36" i="4"/>
  <c r="T36" i="4"/>
  <c r="W36" i="4" s="1"/>
  <c r="J20" i="4"/>
  <c r="T20" i="4"/>
  <c r="W20" i="4" s="1"/>
  <c r="L20" i="4" s="1"/>
  <c r="J29" i="4"/>
  <c r="T29" i="4"/>
  <c r="W29" i="4" s="1"/>
  <c r="L29" i="4" s="1"/>
  <c r="T11" i="4"/>
  <c r="W11" i="4" s="1"/>
  <c r="L11" i="4" s="1"/>
  <c r="J11" i="4"/>
  <c r="J30" i="4"/>
  <c r="T30" i="4"/>
  <c r="W30" i="4" s="1"/>
  <c r="L30" i="4" s="1"/>
  <c r="J12" i="4"/>
  <c r="T12" i="4"/>
  <c r="W12" i="4" s="1"/>
  <c r="L12" i="4" s="1"/>
  <c r="J27" i="4"/>
  <c r="I27" i="4"/>
  <c r="T27" i="4"/>
  <c r="W27" i="4" s="1"/>
  <c r="L10" i="4"/>
  <c r="M10" i="4" s="1"/>
  <c r="C2" i="5" s="1"/>
  <c r="H294" i="4"/>
  <c r="H300" i="4"/>
  <c r="H305" i="4"/>
  <c r="H253" i="4"/>
  <c r="H269" i="4"/>
  <c r="H307" i="4"/>
  <c r="H231" i="4"/>
  <c r="H240" i="4"/>
  <c r="H244" i="4"/>
  <c r="H211" i="4"/>
  <c r="H226" i="4"/>
  <c r="H241" i="4"/>
  <c r="H239" i="4"/>
  <c r="H248" i="4"/>
  <c r="H275" i="4"/>
  <c r="H229" i="4"/>
  <c r="H277" i="4"/>
  <c r="H235" i="4"/>
  <c r="H272" i="4"/>
  <c r="H264" i="4"/>
  <c r="H254" i="4"/>
  <c r="H265" i="4"/>
  <c r="H249" i="4"/>
  <c r="H223" i="4"/>
  <c r="H250" i="4"/>
  <c r="H247" i="4"/>
  <c r="H280" i="4"/>
  <c r="H230" i="4"/>
  <c r="H246" i="4"/>
  <c r="H245" i="4"/>
  <c r="H238" i="4"/>
  <c r="H242" i="4"/>
  <c r="H251" i="4"/>
  <c r="H274" i="4"/>
  <c r="H236" i="4"/>
  <c r="H270" i="4"/>
  <c r="H222" i="4"/>
  <c r="H237" i="4"/>
  <c r="H271" i="4"/>
  <c r="H279" i="4"/>
  <c r="H234" i="4"/>
  <c r="H283" i="4"/>
  <c r="H208" i="4"/>
  <c r="H224" i="4"/>
  <c r="H278" i="4"/>
  <c r="H218" i="4"/>
  <c r="H273" i="4"/>
  <c r="H214" i="4"/>
  <c r="H252" i="4"/>
  <c r="F284" i="4" l="1"/>
  <c r="F285" i="4"/>
  <c r="H324" i="4"/>
  <c r="H311" i="4"/>
  <c r="H319" i="4"/>
  <c r="J307" i="4"/>
  <c r="T307" i="4"/>
  <c r="W307" i="4" s="1"/>
  <c r="D179" i="13"/>
  <c r="Q252" i="13" s="1"/>
  <c r="D173" i="15"/>
  <c r="Q218" i="15" s="1"/>
  <c r="W928" i="13"/>
  <c r="B462" i="15"/>
  <c r="W818" i="15" s="1"/>
  <c r="T305" i="4"/>
  <c r="T292" i="4"/>
  <c r="D309" i="15"/>
  <c r="D319" i="13"/>
  <c r="J294" i="4"/>
  <c r="I294" i="4" s="1"/>
  <c r="J300" i="4"/>
  <c r="I300" i="4" s="1"/>
  <c r="I299" i="4" s="1"/>
  <c r="T300" i="4"/>
  <c r="I227" i="4"/>
  <c r="J292" i="4"/>
  <c r="I292" i="4" s="1"/>
  <c r="T294" i="4"/>
  <c r="J305" i="4"/>
  <c r="F306" i="4" s="1"/>
  <c r="M297" i="4"/>
  <c r="EA2" i="5" s="1"/>
  <c r="N297" i="4"/>
  <c r="F280" i="4"/>
  <c r="F278" i="4"/>
  <c r="F279" i="4"/>
  <c r="F277" i="4"/>
  <c r="F276" i="4"/>
  <c r="F275" i="4"/>
  <c r="F274" i="4"/>
  <c r="F273" i="4"/>
  <c r="F272" i="4"/>
  <c r="F270" i="4"/>
  <c r="F268" i="4"/>
  <c r="F263" i="4"/>
  <c r="J285" i="4"/>
  <c r="T285" i="4"/>
  <c r="W285" i="4" s="1"/>
  <c r="J282" i="4"/>
  <c r="T282" i="4"/>
  <c r="W282" i="4" s="1"/>
  <c r="J279" i="4"/>
  <c r="I279" i="4" s="1"/>
  <c r="T279" i="4"/>
  <c r="W279" i="4" s="1"/>
  <c r="J276" i="4"/>
  <c r="I276" i="4" s="1"/>
  <c r="T276" i="4"/>
  <c r="W276" i="4" s="1"/>
  <c r="J273" i="4"/>
  <c r="I273" i="4" s="1"/>
  <c r="T273" i="4"/>
  <c r="W273" i="4" s="1"/>
  <c r="J270" i="4"/>
  <c r="I270" i="4" s="1"/>
  <c r="T270" i="4"/>
  <c r="W270" i="4" s="1"/>
  <c r="J267" i="4"/>
  <c r="I267" i="4" s="1"/>
  <c r="T267" i="4"/>
  <c r="W267" i="4" s="1"/>
  <c r="J264" i="4"/>
  <c r="I264" i="4" s="1"/>
  <c r="T264" i="4"/>
  <c r="W264" i="4" s="1"/>
  <c r="J261" i="4"/>
  <c r="T261" i="4"/>
  <c r="W261" i="4" s="1"/>
  <c r="J287" i="4"/>
  <c r="T287" i="4"/>
  <c r="W287" i="4" s="1"/>
  <c r="J284" i="4"/>
  <c r="I284" i="4" s="1"/>
  <c r="T284" i="4"/>
  <c r="W284" i="4" s="1"/>
  <c r="J281" i="4"/>
  <c r="I281" i="4" s="1"/>
  <c r="Z281" i="4" s="1"/>
  <c r="T281" i="4"/>
  <c r="W281" i="4" s="1"/>
  <c r="J278" i="4"/>
  <c r="I278" i="4" s="1"/>
  <c r="T278" i="4"/>
  <c r="W278" i="4" s="1"/>
  <c r="J275" i="4"/>
  <c r="I275" i="4" s="1"/>
  <c r="T275" i="4"/>
  <c r="W275" i="4" s="1"/>
  <c r="J272" i="4"/>
  <c r="I272" i="4" s="1"/>
  <c r="T272" i="4"/>
  <c r="W272" i="4" s="1"/>
  <c r="J269" i="4"/>
  <c r="I269" i="4" s="1"/>
  <c r="T269" i="4"/>
  <c r="W269" i="4" s="1"/>
  <c r="J266" i="4"/>
  <c r="I266" i="4" s="1"/>
  <c r="T266" i="4"/>
  <c r="W266" i="4" s="1"/>
  <c r="J263" i="4"/>
  <c r="I263" i="4" s="1"/>
  <c r="T263" i="4"/>
  <c r="W263" i="4" s="1"/>
  <c r="J260" i="4"/>
  <c r="T260" i="4"/>
  <c r="W260" i="4" s="1"/>
  <c r="L260" i="4" s="1"/>
  <c r="J286" i="4"/>
  <c r="I286" i="4" s="1"/>
  <c r="T286" i="4"/>
  <c r="W286" i="4" s="1"/>
  <c r="J283" i="4"/>
  <c r="I283" i="4" s="1"/>
  <c r="T283" i="4"/>
  <c r="W283" i="4" s="1"/>
  <c r="J280" i="4"/>
  <c r="I280" i="4" s="1"/>
  <c r="T280" i="4"/>
  <c r="W280" i="4" s="1"/>
  <c r="J277" i="4"/>
  <c r="I277" i="4" s="1"/>
  <c r="T277" i="4"/>
  <c r="W277" i="4" s="1"/>
  <c r="J274" i="4"/>
  <c r="I274" i="4" s="1"/>
  <c r="T274" i="4"/>
  <c r="W274" i="4" s="1"/>
  <c r="J271" i="4"/>
  <c r="T271" i="4"/>
  <c r="W271" i="4" s="1"/>
  <c r="J268" i="4"/>
  <c r="I268" i="4" s="1"/>
  <c r="T268" i="4"/>
  <c r="W268" i="4" s="1"/>
  <c r="J265" i="4"/>
  <c r="I265" i="4" s="1"/>
  <c r="T265" i="4"/>
  <c r="W265" i="4" s="1"/>
  <c r="J262" i="4"/>
  <c r="I262" i="4" s="1"/>
  <c r="T262" i="4"/>
  <c r="W262" i="4" s="1"/>
  <c r="H255" i="4"/>
  <c r="J254" i="4"/>
  <c r="T254" i="4"/>
  <c r="W254" i="4" s="1"/>
  <c r="J251" i="4"/>
  <c r="T251" i="4"/>
  <c r="W251" i="4" s="1"/>
  <c r="J250" i="4"/>
  <c r="T250" i="4"/>
  <c r="W250" i="4" s="1"/>
  <c r="J253" i="4"/>
  <c r="T253" i="4"/>
  <c r="W253" i="4" s="1"/>
  <c r="J252" i="4"/>
  <c r="T252" i="4"/>
  <c r="W252" i="4" s="1"/>
  <c r="J245" i="4"/>
  <c r="T245" i="4"/>
  <c r="W245" i="4" s="1"/>
  <c r="L245" i="4" s="1"/>
  <c r="J249" i="4"/>
  <c r="T249" i="4"/>
  <c r="W249" i="4" s="1"/>
  <c r="L249" i="4" s="1"/>
  <c r="J242" i="4"/>
  <c r="T242" i="4"/>
  <c r="W242" i="4" s="1"/>
  <c r="L242" i="4" s="1"/>
  <c r="J248" i="4"/>
  <c r="T248" i="4"/>
  <c r="W248" i="4" s="1"/>
  <c r="L248" i="4" s="1"/>
  <c r="J243" i="4"/>
  <c r="T243" i="4"/>
  <c r="W243" i="4" s="1"/>
  <c r="L243" i="4" s="1"/>
  <c r="J247" i="4"/>
  <c r="T247" i="4"/>
  <c r="W247" i="4" s="1"/>
  <c r="L247" i="4" s="1"/>
  <c r="J246" i="4"/>
  <c r="T246" i="4"/>
  <c r="W246" i="4" s="1"/>
  <c r="L246" i="4" s="1"/>
  <c r="J244" i="4"/>
  <c r="T244" i="4"/>
  <c r="W244" i="4" s="1"/>
  <c r="L244" i="4" s="1"/>
  <c r="J240" i="4"/>
  <c r="F241" i="4" s="1"/>
  <c r="T240" i="4"/>
  <c r="W240" i="4" s="1"/>
  <c r="J241" i="4"/>
  <c r="T241" i="4"/>
  <c r="W241" i="4" s="1"/>
  <c r="F239" i="4"/>
  <c r="F238" i="4"/>
  <c r="F237" i="4"/>
  <c r="F236" i="4"/>
  <c r="F235" i="4"/>
  <c r="F234" i="4"/>
  <c r="F231" i="4"/>
  <c r="F230" i="4"/>
  <c r="F229" i="4"/>
  <c r="F211" i="4"/>
  <c r="J237" i="4"/>
  <c r="I237" i="4" s="1"/>
  <c r="T237" i="4"/>
  <c r="W237" i="4" s="1"/>
  <c r="J239" i="4"/>
  <c r="I239" i="4" s="1"/>
  <c r="T239" i="4"/>
  <c r="W239" i="4" s="1"/>
  <c r="J236" i="4"/>
  <c r="I236" i="4" s="1"/>
  <c r="T236" i="4"/>
  <c r="W236" i="4" s="1"/>
  <c r="J238" i="4"/>
  <c r="I238" i="4" s="1"/>
  <c r="T238" i="4"/>
  <c r="W238" i="4" s="1"/>
  <c r="J222" i="4"/>
  <c r="T222" i="4"/>
  <c r="W222" i="4" s="1"/>
  <c r="J235" i="4"/>
  <c r="I235" i="4" s="1"/>
  <c r="T235" i="4"/>
  <c r="W235" i="4" s="1"/>
  <c r="J223" i="4"/>
  <c r="T223" i="4"/>
  <c r="W223" i="4" s="1"/>
  <c r="J210" i="4"/>
  <c r="T210" i="4"/>
  <c r="W210" i="4" s="1"/>
  <c r="L210" i="4" s="1"/>
  <c r="J220" i="4"/>
  <c r="T220" i="4"/>
  <c r="W220" i="4" s="1"/>
  <c r="J211" i="4"/>
  <c r="I211" i="4" s="1"/>
  <c r="T211" i="4"/>
  <c r="W211" i="4" s="1"/>
  <c r="J225" i="4"/>
  <c r="T225" i="4"/>
  <c r="W225" i="4" s="1"/>
  <c r="J234" i="4"/>
  <c r="I234" i="4" s="1"/>
  <c r="T234" i="4"/>
  <c r="W234" i="4" s="1"/>
  <c r="J233" i="4"/>
  <c r="I233" i="4" s="1"/>
  <c r="T233" i="4"/>
  <c r="W233" i="4" s="1"/>
  <c r="J221" i="4"/>
  <c r="T221" i="4"/>
  <c r="W221" i="4" s="1"/>
  <c r="J230" i="4"/>
  <c r="I230" i="4" s="1"/>
  <c r="T230" i="4"/>
  <c r="W230" i="4" s="1"/>
  <c r="J229" i="4"/>
  <c r="I229" i="4" s="1"/>
  <c r="T229" i="4"/>
  <c r="W229" i="4" s="1"/>
  <c r="J217" i="4"/>
  <c r="I217" i="4" s="1"/>
  <c r="T217" i="4"/>
  <c r="W217" i="4" s="1"/>
  <c r="J224" i="4"/>
  <c r="T224" i="4"/>
  <c r="W224" i="4" s="1"/>
  <c r="J218" i="4"/>
  <c r="I218" i="4" s="1"/>
  <c r="T218" i="4"/>
  <c r="W218" i="4" s="1"/>
  <c r="J231" i="4"/>
  <c r="I231" i="4" s="1"/>
  <c r="T231" i="4"/>
  <c r="W231" i="4" s="1"/>
  <c r="J219" i="4"/>
  <c r="T219" i="4"/>
  <c r="W219" i="4" s="1"/>
  <c r="J232" i="4"/>
  <c r="I232" i="4" s="1"/>
  <c r="T232" i="4"/>
  <c r="W232" i="4" s="1"/>
  <c r="J214" i="4"/>
  <c r="I214" i="4" s="1"/>
  <c r="T214" i="4"/>
  <c r="W214" i="4" s="1"/>
  <c r="J213" i="4"/>
  <c r="I213" i="4" s="1"/>
  <c r="T213" i="4"/>
  <c r="W213" i="4" s="1"/>
  <c r="J226" i="4"/>
  <c r="T226" i="4"/>
  <c r="W226" i="4" s="1"/>
  <c r="J209" i="4"/>
  <c r="T209" i="4"/>
  <c r="W209" i="4" s="1"/>
  <c r="J208" i="4"/>
  <c r="T208" i="4"/>
  <c r="W208" i="4" s="1"/>
  <c r="L208" i="4" s="1"/>
  <c r="J207" i="4"/>
  <c r="T207" i="4"/>
  <c r="W207" i="4" s="1"/>
  <c r="J202" i="4"/>
  <c r="I202" i="4" s="1"/>
  <c r="T202" i="4"/>
  <c r="W202" i="4" s="1"/>
  <c r="N13" i="4"/>
  <c r="Y13" i="4" s="1"/>
  <c r="C21" i="15" s="1"/>
  <c r="G21" i="15" s="1"/>
  <c r="V33" i="15" s="1"/>
  <c r="N33" i="4"/>
  <c r="Y33" i="4" s="1"/>
  <c r="C62" i="15" s="1"/>
  <c r="G62" i="15" s="1"/>
  <c r="R61" i="15" s="1"/>
  <c r="N23" i="4"/>
  <c r="Y23" i="4" s="1"/>
  <c r="N14" i="4"/>
  <c r="O14" i="4" s="1"/>
  <c r="N37" i="4"/>
  <c r="O37" i="4" s="1"/>
  <c r="N34" i="4"/>
  <c r="P34" i="4" s="1"/>
  <c r="M33" i="4"/>
  <c r="N20" i="4"/>
  <c r="O20" i="4" s="1"/>
  <c r="N31" i="4"/>
  <c r="P31" i="4" s="1"/>
  <c r="N30" i="4"/>
  <c r="Y30" i="4" s="1"/>
  <c r="C59" i="15" s="1"/>
  <c r="G59" i="15" s="1"/>
  <c r="P59" i="15" s="1"/>
  <c r="N32" i="4"/>
  <c r="P32" i="4" s="1"/>
  <c r="N22" i="4"/>
  <c r="P22" i="4" s="1"/>
  <c r="N12" i="4"/>
  <c r="P12" i="4" s="1"/>
  <c r="N29" i="4"/>
  <c r="P29" i="4" s="1"/>
  <c r="N25" i="4"/>
  <c r="Y25" i="4" s="1"/>
  <c r="N28" i="4"/>
  <c r="P28" i="4" s="1"/>
  <c r="N24" i="4"/>
  <c r="Y24" i="4" s="1"/>
  <c r="N21" i="4"/>
  <c r="O21" i="4" s="1"/>
  <c r="L38" i="4"/>
  <c r="N11" i="4"/>
  <c r="O11" i="4" s="1"/>
  <c r="M14" i="4"/>
  <c r="F2" i="5" s="1"/>
  <c r="L18" i="4"/>
  <c r="N18" i="4" s="1"/>
  <c r="P18" i="4" s="1"/>
  <c r="M31" i="4"/>
  <c r="M24" i="4"/>
  <c r="M25" i="4"/>
  <c r="M32" i="4"/>
  <c r="M22" i="4"/>
  <c r="L36" i="4"/>
  <c r="N36" i="4" s="1"/>
  <c r="P36" i="4" s="1"/>
  <c r="M11" i="4"/>
  <c r="B8" i="15" s="1"/>
  <c r="L27" i="4"/>
  <c r="N27" i="4" s="1"/>
  <c r="Z27" i="4" s="1"/>
  <c r="C8" i="11"/>
  <c r="D3" i="3"/>
  <c r="I43" i="4"/>
  <c r="L43" i="4" s="1"/>
  <c r="M43" i="4" s="1"/>
  <c r="M12" i="4"/>
  <c r="D2" i="5" s="1"/>
  <c r="M20" i="4"/>
  <c r="L35" i="4"/>
  <c r="N35" i="4" s="1"/>
  <c r="M21" i="4"/>
  <c r="M28" i="4"/>
  <c r="L16" i="4"/>
  <c r="N16" i="4" s="1"/>
  <c r="I44" i="4"/>
  <c r="L44" i="4" s="1"/>
  <c r="M44" i="4" s="1"/>
  <c r="N10" i="4"/>
  <c r="L26" i="4"/>
  <c r="N26" i="4" s="1"/>
  <c r="M30" i="4"/>
  <c r="M29" i="4"/>
  <c r="M23" i="4"/>
  <c r="M37" i="4"/>
  <c r="M13" i="4"/>
  <c r="E2" i="5" s="1"/>
  <c r="L17" i="4"/>
  <c r="N17" i="4" s="1"/>
  <c r="M34" i="4"/>
  <c r="I42" i="4"/>
  <c r="L42" i="4" s="1"/>
  <c r="M42" i="4" s="1"/>
  <c r="F38" i="4" s="1"/>
  <c r="I285" i="4" l="1"/>
  <c r="Z285" i="4" s="1"/>
  <c r="Z283" i="4"/>
  <c r="B474" i="15"/>
  <c r="W846" i="15" s="1"/>
  <c r="B404" i="15"/>
  <c r="W843" i="15" s="1"/>
  <c r="I815" i="15"/>
  <c r="B480" i="13"/>
  <c r="W955" i="13" s="1"/>
  <c r="B426" i="13"/>
  <c r="W952" i="13" s="1"/>
  <c r="J324" i="4"/>
  <c r="M324" i="4" s="1"/>
  <c r="T324" i="4"/>
  <c r="T319" i="4"/>
  <c r="J319" i="4"/>
  <c r="J311" i="4"/>
  <c r="I223" i="4"/>
  <c r="L223" i="4" s="1"/>
  <c r="M223" i="4" s="1"/>
  <c r="I305" i="4"/>
  <c r="I304" i="4" s="1"/>
  <c r="L304" i="4" s="1"/>
  <c r="I241" i="4"/>
  <c r="L241" i="4" s="1"/>
  <c r="B413" i="15"/>
  <c r="B435" i="13"/>
  <c r="C19" i="4"/>
  <c r="I282" i="4"/>
  <c r="Z282" i="4" s="1"/>
  <c r="B8" i="13"/>
  <c r="I3" i="13" s="1"/>
  <c r="I3" i="15"/>
  <c r="I226" i="4"/>
  <c r="L226" i="4" s="1"/>
  <c r="M226" i="4" s="1"/>
  <c r="L284" i="4"/>
  <c r="M284" i="4" s="1"/>
  <c r="DS2" i="5" s="1"/>
  <c r="D525" i="13"/>
  <c r="C42" i="13"/>
  <c r="G42" i="13" s="1"/>
  <c r="R46" i="13" s="1"/>
  <c r="C42" i="15"/>
  <c r="G42" i="15" s="1"/>
  <c r="R48" i="15" s="1"/>
  <c r="D45" i="13"/>
  <c r="I49" i="13" s="1"/>
  <c r="D45" i="15"/>
  <c r="I51" i="15" s="1"/>
  <c r="C43" i="13"/>
  <c r="G43" i="13" s="1"/>
  <c r="T46" i="13" s="1"/>
  <c r="C43" i="15"/>
  <c r="G43" i="15" s="1"/>
  <c r="T48" i="15" s="1"/>
  <c r="C41" i="13"/>
  <c r="G41" i="13" s="1"/>
  <c r="N46" i="13" s="1"/>
  <c r="C41" i="15"/>
  <c r="G41" i="15" s="1"/>
  <c r="N48" i="15" s="1"/>
  <c r="I225" i="4"/>
  <c r="L225" i="4" s="1"/>
  <c r="M225" i="4" s="1"/>
  <c r="Z214" i="4"/>
  <c r="O297" i="4"/>
  <c r="P297" i="4"/>
  <c r="Y297" i="4"/>
  <c r="L300" i="4"/>
  <c r="L299" i="4"/>
  <c r="L294" i="4"/>
  <c r="I293" i="4"/>
  <c r="L293" i="4" s="1"/>
  <c r="L292" i="4"/>
  <c r="I291" i="4"/>
  <c r="L291" i="4" s="1"/>
  <c r="I222" i="4"/>
  <c r="L222" i="4" s="1"/>
  <c r="M222" i="4" s="1"/>
  <c r="I221" i="4"/>
  <c r="L221" i="4" s="1"/>
  <c r="M221" i="4" s="1"/>
  <c r="I224" i="4"/>
  <c r="L224" i="4" s="1"/>
  <c r="M224" i="4" s="1"/>
  <c r="I220" i="4"/>
  <c r="L220" i="4" s="1"/>
  <c r="M220" i="4" s="1"/>
  <c r="L274" i="4"/>
  <c r="M274" i="4" s="1"/>
  <c r="L280" i="4"/>
  <c r="M280" i="4" s="1"/>
  <c r="L286" i="4"/>
  <c r="M286" i="4" s="1"/>
  <c r="DU2" i="5" s="1"/>
  <c r="L275" i="4"/>
  <c r="M275" i="4" s="1"/>
  <c r="L278" i="4"/>
  <c r="M278" i="4" s="1"/>
  <c r="L277" i="4"/>
  <c r="M277" i="4" s="1"/>
  <c r="L272" i="4"/>
  <c r="M272" i="4" s="1"/>
  <c r="DO2" i="5" s="1"/>
  <c r="L273" i="4"/>
  <c r="M273" i="4" s="1"/>
  <c r="L279" i="4"/>
  <c r="M279" i="4" s="1"/>
  <c r="L276" i="4"/>
  <c r="M276" i="4" s="1"/>
  <c r="L268" i="4"/>
  <c r="M268" i="4" s="1"/>
  <c r="L269" i="4"/>
  <c r="M269" i="4" s="1"/>
  <c r="L270" i="4"/>
  <c r="M270" i="4" s="1"/>
  <c r="L265" i="4"/>
  <c r="M265" i="4" s="1"/>
  <c r="L266" i="4"/>
  <c r="M266" i="4" s="1"/>
  <c r="L267" i="4"/>
  <c r="M267" i="4" s="1"/>
  <c r="L264" i="4"/>
  <c r="M264" i="4" s="1"/>
  <c r="L262" i="4"/>
  <c r="N262" i="4" s="1"/>
  <c r="L263" i="4"/>
  <c r="M263" i="4" s="1"/>
  <c r="M260" i="4"/>
  <c r="DK2" i="5" s="1"/>
  <c r="N260" i="4"/>
  <c r="D409" i="13"/>
  <c r="I209" i="4"/>
  <c r="L209" i="4" s="1"/>
  <c r="M209" i="4" s="1"/>
  <c r="CG2" i="5" s="1"/>
  <c r="M246" i="4"/>
  <c r="CY2" i="5" s="1"/>
  <c r="N246" i="4"/>
  <c r="M243" i="4"/>
  <c r="CV2" i="5" s="1"/>
  <c r="N243" i="4"/>
  <c r="M242" i="4"/>
  <c r="CU2" i="5" s="1"/>
  <c r="N242" i="4"/>
  <c r="M245" i="4"/>
  <c r="CX2" i="5" s="1"/>
  <c r="N245" i="4"/>
  <c r="M244" i="4"/>
  <c r="CW2" i="5" s="1"/>
  <c r="N244" i="4"/>
  <c r="M247" i="4"/>
  <c r="CZ2" i="5" s="1"/>
  <c r="N247" i="4"/>
  <c r="M248" i="4"/>
  <c r="DA2" i="5" s="1"/>
  <c r="N248" i="4"/>
  <c r="M249" i="4"/>
  <c r="DB2" i="5" s="1"/>
  <c r="N249" i="4"/>
  <c r="L213" i="4"/>
  <c r="M213" i="4" s="1"/>
  <c r="L232" i="4"/>
  <c r="M232" i="4" s="1"/>
  <c r="CL2" i="5" s="1"/>
  <c r="L231" i="4"/>
  <c r="M231" i="4" s="1"/>
  <c r="CK2" i="5" s="1"/>
  <c r="L218" i="4"/>
  <c r="M218" i="4" s="1"/>
  <c r="L217" i="4"/>
  <c r="M217" i="4" s="1"/>
  <c r="L230" i="4"/>
  <c r="M230" i="4" s="1"/>
  <c r="CJ2" i="5" s="1"/>
  <c r="L233" i="4"/>
  <c r="M233" i="4" s="1"/>
  <c r="CM2" i="5" s="1"/>
  <c r="L229" i="4"/>
  <c r="M229" i="4" s="1"/>
  <c r="CI2" i="5" s="1"/>
  <c r="L234" i="4"/>
  <c r="M234" i="4" s="1"/>
  <c r="CN2" i="5" s="1"/>
  <c r="L211" i="4"/>
  <c r="M211" i="4" s="1"/>
  <c r="CH2" i="5" s="1"/>
  <c r="L236" i="4"/>
  <c r="M236" i="4" s="1"/>
  <c r="CP2" i="5" s="1"/>
  <c r="L237" i="4"/>
  <c r="M237" i="4" s="1"/>
  <c r="CQ2" i="5" s="1"/>
  <c r="L235" i="4"/>
  <c r="M235" i="4" s="1"/>
  <c r="CO2" i="5" s="1"/>
  <c r="L238" i="4"/>
  <c r="M238" i="4" s="1"/>
  <c r="CR2" i="5" s="1"/>
  <c r="L239" i="4"/>
  <c r="M239" i="4" s="1"/>
  <c r="CS2" i="5" s="1"/>
  <c r="M210" i="4"/>
  <c r="N210" i="4"/>
  <c r="M208" i="4"/>
  <c r="CF2" i="5" s="1"/>
  <c r="N208" i="4"/>
  <c r="Y28" i="4"/>
  <c r="N38" i="4"/>
  <c r="P38" i="4" s="1"/>
  <c r="P23" i="4"/>
  <c r="Y20" i="4"/>
  <c r="P37" i="4"/>
  <c r="Y37" i="4"/>
  <c r="O23" i="4"/>
  <c r="P20" i="4"/>
  <c r="P33" i="4"/>
  <c r="Y29" i="4"/>
  <c r="O33" i="4"/>
  <c r="Z36" i="4"/>
  <c r="O30" i="4"/>
  <c r="Y34" i="4"/>
  <c r="O12" i="4"/>
  <c r="P24" i="4"/>
  <c r="O32" i="4"/>
  <c r="O24" i="4"/>
  <c r="M35" i="4"/>
  <c r="Y14" i="4"/>
  <c r="Y12" i="4"/>
  <c r="O13" i="4"/>
  <c r="Y32" i="4"/>
  <c r="P13" i="4"/>
  <c r="P14" i="4"/>
  <c r="Y36" i="4"/>
  <c r="O29" i="4"/>
  <c r="O36" i="4"/>
  <c r="M36" i="4"/>
  <c r="M27" i="4"/>
  <c r="Y22" i="4"/>
  <c r="O22" i="4"/>
  <c r="O34" i="4"/>
  <c r="Y27" i="4"/>
  <c r="P27" i="4"/>
  <c r="Y21" i="4"/>
  <c r="M16" i="4"/>
  <c r="G2" i="5" s="1"/>
  <c r="O27" i="4"/>
  <c r="P21" i="4"/>
  <c r="P25" i="4"/>
  <c r="O25" i="4"/>
  <c r="P30" i="4"/>
  <c r="M18" i="4"/>
  <c r="I2" i="5" s="1"/>
  <c r="O28" i="4"/>
  <c r="M38" i="4"/>
  <c r="J2" i="5" s="1"/>
  <c r="O31" i="4"/>
  <c r="Y18" i="4"/>
  <c r="Y31" i="4"/>
  <c r="O18" i="4"/>
  <c r="M26" i="4"/>
  <c r="P11" i="4"/>
  <c r="Y11" i="4"/>
  <c r="P16" i="4"/>
  <c r="O16" i="4"/>
  <c r="Y16" i="4"/>
  <c r="C23" i="15" s="1"/>
  <c r="G23" i="15" s="1"/>
  <c r="L35" i="15" s="1"/>
  <c r="P35" i="4"/>
  <c r="O35" i="4"/>
  <c r="Y35" i="4"/>
  <c r="C64" i="15" s="1"/>
  <c r="G64" i="15" s="1"/>
  <c r="X61" i="15" s="1"/>
  <c r="C62" i="13"/>
  <c r="G62" i="13" s="1"/>
  <c r="R59" i="13" s="1"/>
  <c r="C59" i="13"/>
  <c r="G59" i="13" s="1"/>
  <c r="P57" i="13" s="1"/>
  <c r="F42" i="4"/>
  <c r="P26" i="4"/>
  <c r="O26" i="4"/>
  <c r="Y26" i="4"/>
  <c r="D5" i="3"/>
  <c r="O17" i="4"/>
  <c r="P17" i="4"/>
  <c r="Y17" i="4"/>
  <c r="C25" i="15" s="1"/>
  <c r="G25" i="15" s="1"/>
  <c r="X35" i="15" s="1"/>
  <c r="O10" i="4"/>
  <c r="Y10" i="4"/>
  <c r="P10" i="4"/>
  <c r="C21" i="13"/>
  <c r="G21" i="13" s="1"/>
  <c r="V32" i="13" s="1"/>
  <c r="M17" i="4"/>
  <c r="H2" i="5" s="1"/>
  <c r="H74" i="4"/>
  <c r="H95" i="4"/>
  <c r="H19" i="4"/>
  <c r="H100" i="4"/>
  <c r="H40" i="4"/>
  <c r="H61" i="4"/>
  <c r="H46" i="4"/>
  <c r="H76" i="4"/>
  <c r="H67" i="4"/>
  <c r="H70" i="4"/>
  <c r="H72" i="4"/>
  <c r="H41" i="4"/>
  <c r="H215" i="4"/>
  <c r="H80" i="4"/>
  <c r="H105" i="4"/>
  <c r="H50" i="4"/>
  <c r="H93" i="4"/>
  <c r="H47" i="4"/>
  <c r="H96" i="4"/>
  <c r="H296" i="4"/>
  <c r="H58" i="4"/>
  <c r="H256" i="4"/>
  <c r="H301" i="4"/>
  <c r="H302" i="4"/>
  <c r="H295" i="4"/>
  <c r="H59" i="4"/>
  <c r="H81" i="4"/>
  <c r="H73" i="4"/>
  <c r="H57" i="4"/>
  <c r="H97" i="4"/>
  <c r="H60" i="4"/>
  <c r="H106" i="4"/>
  <c r="H53" i="4"/>
  <c r="H78" i="4"/>
  <c r="H77" i="4"/>
  <c r="H94" i="4"/>
  <c r="H45" i="4"/>
  <c r="H65" i="4"/>
  <c r="H71" i="4"/>
  <c r="H101" i="4"/>
  <c r="H63" i="4"/>
  <c r="H216" i="4"/>
  <c r="H48" i="4"/>
  <c r="H103" i="4"/>
  <c r="H79" i="4"/>
  <c r="H51" i="4"/>
  <c r="H75" i="4"/>
  <c r="H104" i="4"/>
  <c r="H49" i="4"/>
  <c r="H54" i="4"/>
  <c r="H62" i="4"/>
  <c r="H52" i="4"/>
  <c r="I550" i="15" l="1"/>
  <c r="I659" i="13"/>
  <c r="B570" i="13"/>
  <c r="U936" i="13" s="1"/>
  <c r="I925" i="13"/>
  <c r="N324" i="4"/>
  <c r="Y324" i="4" s="1"/>
  <c r="M319" i="4"/>
  <c r="N319" i="4"/>
  <c r="T311" i="4"/>
  <c r="M311" i="4"/>
  <c r="N311" i="4"/>
  <c r="H310" i="4"/>
  <c r="H309" i="4" s="1"/>
  <c r="H312" i="4" s="1"/>
  <c r="I100" i="4"/>
  <c r="J96" i="4"/>
  <c r="T96" i="4"/>
  <c r="W96" i="4" s="1"/>
  <c r="L96" i="4" s="1"/>
  <c r="F102" i="4"/>
  <c r="T530" i="15"/>
  <c r="C530" i="13"/>
  <c r="G530" i="13" s="1"/>
  <c r="C526" i="15"/>
  <c r="G526" i="15" s="1"/>
  <c r="X667" i="15" s="1"/>
  <c r="I301" i="4"/>
  <c r="F296" i="4"/>
  <c r="I296" i="4" s="1"/>
  <c r="J301" i="4"/>
  <c r="T301" i="4"/>
  <c r="W301" i="4" s="1"/>
  <c r="J296" i="4"/>
  <c r="T296" i="4"/>
  <c r="W296" i="4" s="1"/>
  <c r="L305" i="4"/>
  <c r="M305" i="4" s="1"/>
  <c r="EE2" i="5" s="1"/>
  <c r="J306" i="4"/>
  <c r="I306" i="4" s="1"/>
  <c r="T306" i="4"/>
  <c r="W306" i="4" s="1"/>
  <c r="J259" i="4"/>
  <c r="T259" i="4"/>
  <c r="W259" i="4" s="1"/>
  <c r="L259" i="4" s="1"/>
  <c r="I69" i="4"/>
  <c r="F69" i="4"/>
  <c r="J15" i="4"/>
  <c r="T15" i="4"/>
  <c r="W15" i="4" s="1"/>
  <c r="L15" i="4" s="1"/>
  <c r="F70" i="4"/>
  <c r="J69" i="4"/>
  <c r="T69" i="4"/>
  <c r="W69" i="4" s="1"/>
  <c r="T19" i="4"/>
  <c r="W19" i="4" s="1"/>
  <c r="L19" i="4" s="1"/>
  <c r="J19" i="4"/>
  <c r="N270" i="4"/>
  <c r="P270" i="4" s="1"/>
  <c r="N280" i="4"/>
  <c r="Y280" i="4" s="1"/>
  <c r="N277" i="4"/>
  <c r="Y277" i="4" s="1"/>
  <c r="C495" i="15" s="1"/>
  <c r="G495" i="15" s="1"/>
  <c r="N286" i="4"/>
  <c r="Y286" i="4" s="1"/>
  <c r="N269" i="4"/>
  <c r="Y269" i="4" s="1"/>
  <c r="N267" i="4"/>
  <c r="Y267" i="4" s="1"/>
  <c r="C485" i="15" s="1"/>
  <c r="G485" i="15" s="1"/>
  <c r="X769" i="15" s="1"/>
  <c r="N263" i="4"/>
  <c r="Y263" i="4" s="1"/>
  <c r="C481" i="15" s="1"/>
  <c r="G481" i="15" s="1"/>
  <c r="P765" i="15" s="1"/>
  <c r="N241" i="4"/>
  <c r="P241" i="4" s="1"/>
  <c r="M241" i="4"/>
  <c r="J215" i="4"/>
  <c r="I215" i="4" s="1"/>
  <c r="T215" i="4"/>
  <c r="W215" i="4" s="1"/>
  <c r="N266" i="4"/>
  <c r="Y266" i="4" s="1"/>
  <c r="C484" i="15" s="1"/>
  <c r="G484" i="15" s="1"/>
  <c r="X767" i="15" s="1"/>
  <c r="N278" i="4"/>
  <c r="Y278" i="4" s="1"/>
  <c r="C496" i="15" s="1"/>
  <c r="G496" i="15" s="1"/>
  <c r="N236" i="4"/>
  <c r="O236" i="4" s="1"/>
  <c r="N234" i="4"/>
  <c r="P234" i="4" s="1"/>
  <c r="N237" i="4"/>
  <c r="Y237" i="4" s="1"/>
  <c r="C349" i="15" s="1"/>
  <c r="G349" i="15" s="1"/>
  <c r="X472" i="15" s="1"/>
  <c r="N235" i="4"/>
  <c r="P235" i="4" s="1"/>
  <c r="N238" i="4"/>
  <c r="Y238" i="4" s="1"/>
  <c r="C350" i="15" s="1"/>
  <c r="G350" i="15" s="1"/>
  <c r="X473" i="15" s="1"/>
  <c r="D356" i="13"/>
  <c r="I588" i="13" s="1"/>
  <c r="C44" i="13"/>
  <c r="G44" i="13" s="1"/>
  <c r="X46" i="13" s="1"/>
  <c r="C44" i="15"/>
  <c r="G44" i="15" s="1"/>
  <c r="X48" i="15" s="1"/>
  <c r="C40" i="13"/>
  <c r="G40" i="13" s="1"/>
  <c r="X44" i="13" s="1"/>
  <c r="C40" i="15"/>
  <c r="G40" i="15" s="1"/>
  <c r="X46" i="15" s="1"/>
  <c r="C20" i="15"/>
  <c r="G20" i="15" s="1"/>
  <c r="P33" i="15" s="1"/>
  <c r="C45" i="13"/>
  <c r="G45" i="13" s="1"/>
  <c r="P48" i="13" s="1"/>
  <c r="C45" i="15"/>
  <c r="G45" i="15" s="1"/>
  <c r="P50" i="15" s="1"/>
  <c r="D65" i="15"/>
  <c r="I64" i="15" s="1"/>
  <c r="C58" i="13"/>
  <c r="G58" i="13" s="1"/>
  <c r="X55" i="13" s="1"/>
  <c r="C58" i="15"/>
  <c r="C66" i="13"/>
  <c r="G66" i="13" s="1"/>
  <c r="X61" i="13" s="1"/>
  <c r="C66" i="15"/>
  <c r="G66" i="15" s="1"/>
  <c r="X63" i="15" s="1"/>
  <c r="C24" i="13"/>
  <c r="G24" i="13" s="1"/>
  <c r="P34" i="13" s="1"/>
  <c r="C24" i="15"/>
  <c r="G24" i="15" s="1"/>
  <c r="P35" i="15" s="1"/>
  <c r="C19" i="13"/>
  <c r="G19" i="13" s="1"/>
  <c r="X30" i="13" s="1"/>
  <c r="C19" i="15"/>
  <c r="C60" i="13"/>
  <c r="G60" i="13" s="1"/>
  <c r="X57" i="13" s="1"/>
  <c r="C60" i="15"/>
  <c r="G60" i="15" s="1"/>
  <c r="X59" i="15" s="1"/>
  <c r="C39" i="13"/>
  <c r="G39" i="13" s="1"/>
  <c r="P44" i="13" s="1"/>
  <c r="C39" i="15"/>
  <c r="G39" i="15" s="1"/>
  <c r="P46" i="15" s="1"/>
  <c r="C65" i="15"/>
  <c r="G65" i="15" s="1"/>
  <c r="P63" i="15" s="1"/>
  <c r="C61" i="15"/>
  <c r="G61" i="15" s="1"/>
  <c r="N61" i="15" s="1"/>
  <c r="C22" i="13"/>
  <c r="G22" i="13" s="1"/>
  <c r="X32" i="13" s="1"/>
  <c r="C22" i="15"/>
  <c r="G22" i="15" s="1"/>
  <c r="X33" i="15" s="1"/>
  <c r="C63" i="13"/>
  <c r="G63" i="13" s="1"/>
  <c r="T59" i="13" s="1"/>
  <c r="C63" i="15"/>
  <c r="G63" i="15" s="1"/>
  <c r="T61" i="15" s="1"/>
  <c r="C38" i="13"/>
  <c r="C38" i="15"/>
  <c r="C46" i="13"/>
  <c r="G46" i="13" s="1"/>
  <c r="X48" i="13" s="1"/>
  <c r="C46" i="15"/>
  <c r="G46" i="15" s="1"/>
  <c r="X50" i="15" s="1"/>
  <c r="H55" i="4"/>
  <c r="B95" i="15" s="1"/>
  <c r="Z227" i="4"/>
  <c r="J216" i="4"/>
  <c r="I216" i="4" s="1"/>
  <c r="T216" i="4"/>
  <c r="W216" i="4" s="1"/>
  <c r="N275" i="4"/>
  <c r="O275" i="4" s="1"/>
  <c r="M304" i="4"/>
  <c r="N304" i="4"/>
  <c r="M300" i="4"/>
  <c r="EB2" i="5" s="1"/>
  <c r="N300" i="4"/>
  <c r="M299" i="4"/>
  <c r="N299" i="4"/>
  <c r="J302" i="4"/>
  <c r="T302" i="4"/>
  <c r="W302" i="4" s="1"/>
  <c r="L302" i="4" s="1"/>
  <c r="J295" i="4"/>
  <c r="T295" i="4"/>
  <c r="W295" i="4" s="1"/>
  <c r="L295" i="4" s="1"/>
  <c r="M294" i="4"/>
  <c r="DY2" i="5" s="1"/>
  <c r="N294" i="4"/>
  <c r="M293" i="4"/>
  <c r="N293" i="4"/>
  <c r="M292" i="4"/>
  <c r="DX2" i="5" s="1"/>
  <c r="N292" i="4"/>
  <c r="M291" i="4"/>
  <c r="N291" i="4"/>
  <c r="J289" i="4"/>
  <c r="T289" i="4"/>
  <c r="W289" i="4" s="1"/>
  <c r="N231" i="4"/>
  <c r="P231" i="4" s="1"/>
  <c r="N230" i="4"/>
  <c r="O230" i="4" s="1"/>
  <c r="N229" i="4"/>
  <c r="Y229" i="4" s="1"/>
  <c r="C343" i="15" s="1"/>
  <c r="G343" i="15" s="1"/>
  <c r="X466" i="15" s="1"/>
  <c r="N233" i="4"/>
  <c r="P233" i="4" s="1"/>
  <c r="N232" i="4"/>
  <c r="Y232" i="4" s="1"/>
  <c r="N279" i="4"/>
  <c r="Y279" i="4" s="1"/>
  <c r="N211" i="4"/>
  <c r="O211" i="4" s="1"/>
  <c r="N276" i="4"/>
  <c r="Y276" i="4" s="1"/>
  <c r="C494" i="15" s="1"/>
  <c r="G494" i="15" s="1"/>
  <c r="I219" i="4"/>
  <c r="L219" i="4" s="1"/>
  <c r="M219" i="4" s="1"/>
  <c r="N223" i="4"/>
  <c r="Y223" i="4" s="1"/>
  <c r="F213" i="4"/>
  <c r="N213" i="4" s="1"/>
  <c r="O213" i="4" s="1"/>
  <c r="F214" i="4"/>
  <c r="N217" i="4"/>
  <c r="P217" i="4" s="1"/>
  <c r="F218" i="4"/>
  <c r="H228" i="4" s="1"/>
  <c r="I228" i="4" s="1"/>
  <c r="F224" i="4"/>
  <c r="N224" i="4" s="1"/>
  <c r="P224" i="4" s="1"/>
  <c r="F222" i="4"/>
  <c r="N222" i="4" s="1"/>
  <c r="O222" i="4" s="1"/>
  <c r="N221" i="4"/>
  <c r="P221" i="4" s="1"/>
  <c r="F226" i="4"/>
  <c r="N226" i="4" s="1"/>
  <c r="Y226" i="4" s="1"/>
  <c r="F220" i="4"/>
  <c r="N220" i="4" s="1"/>
  <c r="P220" i="4" s="1"/>
  <c r="N225" i="4"/>
  <c r="P225" i="4" s="1"/>
  <c r="N274" i="4"/>
  <c r="Y274" i="4" s="1"/>
  <c r="C492" i="15" s="1"/>
  <c r="G492" i="15" s="1"/>
  <c r="J212" i="4"/>
  <c r="I212" i="4" s="1"/>
  <c r="T212" i="4"/>
  <c r="W212" i="4" s="1"/>
  <c r="N284" i="4"/>
  <c r="Y284" i="4" s="1"/>
  <c r="C502" i="15" s="1"/>
  <c r="G502" i="15" s="1"/>
  <c r="X797" i="15" s="1"/>
  <c r="N273" i="4"/>
  <c r="Y273" i="4" s="1"/>
  <c r="C491" i="15" s="1"/>
  <c r="G491" i="15" s="1"/>
  <c r="P782" i="15" s="1"/>
  <c r="N264" i="4"/>
  <c r="Y264" i="4" s="1"/>
  <c r="C482" i="15" s="1"/>
  <c r="G482" i="15" s="1"/>
  <c r="X765" i="15" s="1"/>
  <c r="N268" i="4"/>
  <c r="O268" i="4" s="1"/>
  <c r="N272" i="4"/>
  <c r="O272" i="4" s="1"/>
  <c r="N265" i="4"/>
  <c r="P265" i="4" s="1"/>
  <c r="M262" i="4"/>
  <c r="DM2" i="5" s="1"/>
  <c r="O262" i="4"/>
  <c r="P262" i="4"/>
  <c r="Y262" i="4"/>
  <c r="C480" i="15" s="1"/>
  <c r="G480" i="15" s="1"/>
  <c r="X761" i="15" s="1"/>
  <c r="O260" i="4"/>
  <c r="P260" i="4"/>
  <c r="Y260" i="4"/>
  <c r="C478" i="15" s="1"/>
  <c r="G478" i="15" s="1"/>
  <c r="X753" i="15" s="1"/>
  <c r="J258" i="4"/>
  <c r="T258" i="4"/>
  <c r="W258" i="4" s="1"/>
  <c r="J256" i="4"/>
  <c r="T256" i="4"/>
  <c r="W256" i="4" s="1"/>
  <c r="O248" i="4"/>
  <c r="P248" i="4"/>
  <c r="Y248" i="4"/>
  <c r="C391" i="15" s="1"/>
  <c r="G391" i="15" s="1"/>
  <c r="X596" i="15" s="1"/>
  <c r="O244" i="4"/>
  <c r="P244" i="4"/>
  <c r="Y244" i="4"/>
  <c r="O242" i="4"/>
  <c r="P242" i="4"/>
  <c r="Y242" i="4"/>
  <c r="O246" i="4"/>
  <c r="P246" i="4"/>
  <c r="Y246" i="4"/>
  <c r="C389" i="15" s="1"/>
  <c r="G389" i="15" s="1"/>
  <c r="X588" i="15" s="1"/>
  <c r="O249" i="4"/>
  <c r="P249" i="4"/>
  <c r="Y249" i="4"/>
  <c r="C392" i="15" s="1"/>
  <c r="G392" i="15" s="1"/>
  <c r="X601" i="15" s="1"/>
  <c r="O247" i="4"/>
  <c r="P247" i="4"/>
  <c r="Y247" i="4"/>
  <c r="C390" i="15" s="1"/>
  <c r="G390" i="15" s="1"/>
  <c r="O245" i="4"/>
  <c r="P245" i="4"/>
  <c r="Y245" i="4"/>
  <c r="C388" i="15" s="1"/>
  <c r="G388" i="15" s="1"/>
  <c r="X584" i="15" s="1"/>
  <c r="O243" i="4"/>
  <c r="P243" i="4"/>
  <c r="Y243" i="4"/>
  <c r="N239" i="4"/>
  <c r="Y239" i="4" s="1"/>
  <c r="C351" i="15" s="1"/>
  <c r="G351" i="15" s="1"/>
  <c r="X477" i="15" s="1"/>
  <c r="N209" i="4"/>
  <c r="P209" i="4" s="1"/>
  <c r="O210" i="4"/>
  <c r="Y210" i="4"/>
  <c r="C342" i="15" s="1"/>
  <c r="G342" i="15" s="1"/>
  <c r="X456" i="15" s="1"/>
  <c r="P210" i="4"/>
  <c r="P208" i="4"/>
  <c r="O208" i="4"/>
  <c r="Y208" i="4"/>
  <c r="C340" i="15" s="1"/>
  <c r="Y38" i="4"/>
  <c r="Z38" i="4"/>
  <c r="D78" i="15" s="1"/>
  <c r="O38" i="4"/>
  <c r="D65" i="13"/>
  <c r="I62" i="13" s="1"/>
  <c r="C65" i="13"/>
  <c r="G65" i="13" s="1"/>
  <c r="P61" i="13" s="1"/>
  <c r="C20" i="13"/>
  <c r="G20" i="13" s="1"/>
  <c r="P32" i="13" s="1"/>
  <c r="F77" i="4"/>
  <c r="F76" i="4"/>
  <c r="F81" i="4"/>
  <c r="I70" i="4"/>
  <c r="C61" i="13"/>
  <c r="G61" i="13" s="1"/>
  <c r="N59" i="13" s="1"/>
  <c r="F79" i="4"/>
  <c r="J97" i="4"/>
  <c r="T97" i="4"/>
  <c r="W97" i="4" s="1"/>
  <c r="L97" i="4" s="1"/>
  <c r="I81" i="4"/>
  <c r="I76" i="4"/>
  <c r="I77" i="4"/>
  <c r="I78" i="4"/>
  <c r="I79" i="4"/>
  <c r="H66" i="4"/>
  <c r="J65" i="4"/>
  <c r="T65" i="4"/>
  <c r="W65" i="4" s="1"/>
  <c r="J106" i="4"/>
  <c r="T106" i="4"/>
  <c r="W106" i="4" s="1"/>
  <c r="L106" i="4" s="1"/>
  <c r="J187" i="4"/>
  <c r="T187" i="4"/>
  <c r="W187" i="4" s="1"/>
  <c r="L187" i="4" s="1"/>
  <c r="J93" i="4"/>
  <c r="T93" i="4"/>
  <c r="W93" i="4" s="1"/>
  <c r="L93" i="4" s="1"/>
  <c r="J60" i="4"/>
  <c r="M60" i="4" s="1"/>
  <c r="T60" i="4"/>
  <c r="F61" i="4"/>
  <c r="F62" i="4" s="1"/>
  <c r="J40" i="4"/>
  <c r="T40" i="4"/>
  <c r="W40" i="4" s="1"/>
  <c r="F78" i="4"/>
  <c r="J75" i="4"/>
  <c r="T75" i="4"/>
  <c r="W75" i="4" s="1"/>
  <c r="L75" i="4" s="1"/>
  <c r="J57" i="4"/>
  <c r="T57" i="4"/>
  <c r="W57" i="4" s="1"/>
  <c r="J41" i="4"/>
  <c r="T41" i="4"/>
  <c r="W41" i="4" s="1"/>
  <c r="J76" i="4"/>
  <c r="T76" i="4"/>
  <c r="W76" i="4" s="1"/>
  <c r="T54" i="4"/>
  <c r="J54" i="4"/>
  <c r="M54" i="4" s="1"/>
  <c r="J81" i="4"/>
  <c r="T81" i="4"/>
  <c r="W81" i="4" s="1"/>
  <c r="T63" i="4"/>
  <c r="J63" i="4"/>
  <c r="M63" i="4" s="1"/>
  <c r="J47" i="4"/>
  <c r="M47" i="4" s="1"/>
  <c r="T47" i="4"/>
  <c r="J200" i="4"/>
  <c r="I200" i="4" s="1"/>
  <c r="T200" i="4"/>
  <c r="W200" i="4" s="1"/>
  <c r="J189" i="4"/>
  <c r="T189" i="4"/>
  <c r="W189" i="4" s="1"/>
  <c r="L189" i="4" s="1"/>
  <c r="J103" i="4"/>
  <c r="T103" i="4"/>
  <c r="W103" i="4" s="1"/>
  <c r="L103" i="4" s="1"/>
  <c r="J64" i="4"/>
  <c r="T64" i="4"/>
  <c r="W64" i="4" s="1"/>
  <c r="L64" i="4" s="1"/>
  <c r="T48" i="4"/>
  <c r="J48" i="4"/>
  <c r="M48" i="4" s="1"/>
  <c r="J79" i="4"/>
  <c r="T79" i="4"/>
  <c r="W79" i="4" s="1"/>
  <c r="J61" i="4"/>
  <c r="T61" i="4"/>
  <c r="W61" i="4" s="1"/>
  <c r="T45" i="4"/>
  <c r="J45" i="4"/>
  <c r="M45" i="4" s="1"/>
  <c r="J80" i="4"/>
  <c r="T80" i="4"/>
  <c r="W80" i="4" s="1"/>
  <c r="L80" i="4" s="1"/>
  <c r="T58" i="4"/>
  <c r="J58" i="4"/>
  <c r="M58" i="4" s="1"/>
  <c r="N2" i="5" s="1"/>
  <c r="J100" i="4"/>
  <c r="T100" i="4"/>
  <c r="W100" i="4" s="1"/>
  <c r="J68" i="4"/>
  <c r="T68" i="4"/>
  <c r="W68" i="4" s="1"/>
  <c r="L68" i="4" s="1"/>
  <c r="J51" i="4"/>
  <c r="M51" i="4" s="1"/>
  <c r="T51" i="4"/>
  <c r="J199" i="4"/>
  <c r="I199" i="4" s="1"/>
  <c r="T199" i="4"/>
  <c r="W199" i="4" s="1"/>
  <c r="J105" i="4"/>
  <c r="T105" i="4"/>
  <c r="W105" i="4" s="1"/>
  <c r="L105" i="4" s="1"/>
  <c r="J70" i="4"/>
  <c r="T70" i="4"/>
  <c r="W70" i="4" s="1"/>
  <c r="T52" i="4"/>
  <c r="J52" i="4"/>
  <c r="M52" i="4" s="1"/>
  <c r="J94" i="4"/>
  <c r="T94" i="4"/>
  <c r="W94" i="4" s="1"/>
  <c r="L94" i="4" s="1"/>
  <c r="T49" i="4"/>
  <c r="J49" i="4"/>
  <c r="M49" i="4" s="1"/>
  <c r="J95" i="4"/>
  <c r="T95" i="4"/>
  <c r="W95" i="4" s="1"/>
  <c r="L95" i="4" s="1"/>
  <c r="J62" i="4"/>
  <c r="T62" i="4"/>
  <c r="W62" i="4" s="1"/>
  <c r="J46" i="4"/>
  <c r="M46" i="4" s="1"/>
  <c r="T46" i="4"/>
  <c r="J73" i="4"/>
  <c r="T73" i="4"/>
  <c r="W73" i="4" s="1"/>
  <c r="L73" i="4" s="1"/>
  <c r="J74" i="4"/>
  <c r="T74" i="4"/>
  <c r="W74" i="4" s="1"/>
  <c r="L74" i="4" s="1"/>
  <c r="J188" i="4"/>
  <c r="F200" i="4" s="1"/>
  <c r="T188" i="4"/>
  <c r="W188" i="4" s="1"/>
  <c r="L188" i="4" s="1"/>
  <c r="J201" i="4"/>
  <c r="I201" i="4" s="1"/>
  <c r="T201" i="4"/>
  <c r="W201" i="4" s="1"/>
  <c r="J190" i="4"/>
  <c r="L202" i="4" s="1"/>
  <c r="M202" i="4" s="1"/>
  <c r="CA2" i="5" s="1"/>
  <c r="T190" i="4"/>
  <c r="W190" i="4" s="1"/>
  <c r="L190" i="4" s="1"/>
  <c r="J78" i="4"/>
  <c r="T78" i="4"/>
  <c r="W78" i="4" s="1"/>
  <c r="J56" i="4"/>
  <c r="T56" i="4"/>
  <c r="W56" i="4" s="1"/>
  <c r="J104" i="4"/>
  <c r="T104" i="4"/>
  <c r="W104" i="4" s="1"/>
  <c r="L104" i="4" s="1"/>
  <c r="J71" i="4"/>
  <c r="T71" i="4"/>
  <c r="W71" i="4" s="1"/>
  <c r="L71" i="4" s="1"/>
  <c r="T53" i="4"/>
  <c r="J53" i="4"/>
  <c r="M53" i="4" s="1"/>
  <c r="J72" i="4"/>
  <c r="T72" i="4"/>
  <c r="W72" i="4" s="1"/>
  <c r="L72" i="4" s="1"/>
  <c r="J67" i="4"/>
  <c r="T67" i="4"/>
  <c r="W67" i="4" s="1"/>
  <c r="L67" i="4" s="1"/>
  <c r="J50" i="4"/>
  <c r="M50" i="4" s="1"/>
  <c r="T50" i="4"/>
  <c r="J77" i="4"/>
  <c r="T77" i="4"/>
  <c r="W77" i="4" s="1"/>
  <c r="T59" i="4"/>
  <c r="J59" i="4"/>
  <c r="M59" i="4" s="1"/>
  <c r="J39" i="4"/>
  <c r="T39" i="4"/>
  <c r="W39" i="4" s="1"/>
  <c r="L39" i="4" s="1"/>
  <c r="C23" i="13"/>
  <c r="C25" i="13"/>
  <c r="G25" i="13" s="1"/>
  <c r="X34" i="13" s="1"/>
  <c r="N42" i="4"/>
  <c r="F43" i="4"/>
  <c r="N43" i="4" s="1"/>
  <c r="F44" i="4"/>
  <c r="N44" i="4" s="1"/>
  <c r="C64" i="13"/>
  <c r="H290" i="4"/>
  <c r="H303" i="4"/>
  <c r="H130" i="4"/>
  <c r="H177" i="4"/>
  <c r="H90" i="4"/>
  <c r="H82" i="4"/>
  <c r="B69" i="15"/>
  <c r="B68" i="15"/>
  <c r="H102" i="4"/>
  <c r="H121" i="4"/>
  <c r="B70" i="13"/>
  <c r="H88" i="4"/>
  <c r="B49" i="13"/>
  <c r="H124" i="4"/>
  <c r="H123" i="4"/>
  <c r="H135" i="4"/>
  <c r="B70" i="15"/>
  <c r="H125" i="4"/>
  <c r="H149" i="4"/>
  <c r="H107" i="4"/>
  <c r="H257" i="4"/>
  <c r="H129" i="4"/>
  <c r="H122" i="4"/>
  <c r="H110" i="4"/>
  <c r="H178" i="4"/>
  <c r="H127" i="4"/>
  <c r="B49" i="15"/>
  <c r="H143" i="4"/>
  <c r="H140" i="4"/>
  <c r="H174" i="4"/>
  <c r="H115" i="4"/>
  <c r="H111" i="4"/>
  <c r="H133" i="4"/>
  <c r="H98" i="4"/>
  <c r="B48" i="13"/>
  <c r="H131" i="4"/>
  <c r="H150" i="4"/>
  <c r="B50" i="15"/>
  <c r="H83" i="4"/>
  <c r="B50" i="13"/>
  <c r="H119" i="4"/>
  <c r="H84" i="4"/>
  <c r="H298" i="4"/>
  <c r="H175" i="4"/>
  <c r="H117" i="4"/>
  <c r="H191" i="4"/>
  <c r="H155" i="4"/>
  <c r="H151" i="4"/>
  <c r="H147" i="4"/>
  <c r="B48" i="15"/>
  <c r="H136" i="4"/>
  <c r="H126" i="4"/>
  <c r="H144" i="4"/>
  <c r="H120" i="4"/>
  <c r="H192" i="4"/>
  <c r="H157" i="4"/>
  <c r="H142" i="4"/>
  <c r="H176" i="4"/>
  <c r="H148" i="4"/>
  <c r="B69" i="13"/>
  <c r="H128" i="4"/>
  <c r="H203" i="4"/>
  <c r="H204" i="4"/>
  <c r="H156" i="4"/>
  <c r="H114" i="4"/>
  <c r="H134" i="4"/>
  <c r="H160" i="4"/>
  <c r="H92" i="4"/>
  <c r="H87" i="4"/>
  <c r="H112" i="4"/>
  <c r="H141" i="4"/>
  <c r="H91" i="4"/>
  <c r="H161" i="4"/>
  <c r="H118" i="4"/>
  <c r="H162" i="4"/>
  <c r="H99" i="4"/>
  <c r="H89" i="4"/>
  <c r="H116" i="4"/>
  <c r="H154" i="4"/>
  <c r="H137" i="4"/>
  <c r="B68" i="13"/>
  <c r="J335" i="4" l="1"/>
  <c r="T335" i="4"/>
  <c r="W335" i="4" s="1"/>
  <c r="L335" i="4" s="1"/>
  <c r="C386" i="15"/>
  <c r="G386" i="15" s="1"/>
  <c r="X575" i="15" s="1"/>
  <c r="C409" i="13"/>
  <c r="O324" i="4"/>
  <c r="P324" i="4"/>
  <c r="X786" i="15"/>
  <c r="X789" i="15"/>
  <c r="X784" i="15"/>
  <c r="H328" i="4" a="1"/>
  <c r="H328" i="4" s="1"/>
  <c r="H206" i="4"/>
  <c r="H320" i="4"/>
  <c r="O319" i="4"/>
  <c r="P319" i="4"/>
  <c r="Y319" i="4"/>
  <c r="O311" i="4"/>
  <c r="Y311" i="4"/>
  <c r="P311" i="4"/>
  <c r="J310" i="4"/>
  <c r="T310" i="4"/>
  <c r="W310" i="4" s="1"/>
  <c r="L310" i="4" s="1"/>
  <c r="Z134" i="4"/>
  <c r="J134" i="4"/>
  <c r="T134" i="4"/>
  <c r="W134" i="4" s="1"/>
  <c r="L134" i="4" s="1"/>
  <c r="J135" i="4"/>
  <c r="T135" i="4"/>
  <c r="W135" i="4" s="1"/>
  <c r="L135" i="4" s="1"/>
  <c r="F100" i="4"/>
  <c r="J98" i="4"/>
  <c r="T98" i="4"/>
  <c r="W98" i="4" s="1"/>
  <c r="L98" i="4" s="1"/>
  <c r="J99" i="4"/>
  <c r="T99" i="4"/>
  <c r="W99" i="4" s="1"/>
  <c r="L99" i="4" s="1"/>
  <c r="M96" i="4"/>
  <c r="ER2" i="5" s="1"/>
  <c r="N96" i="4"/>
  <c r="F86" i="4"/>
  <c r="J83" i="4"/>
  <c r="T83" i="4"/>
  <c r="W83" i="4" s="1"/>
  <c r="L83" i="4" s="1"/>
  <c r="T84" i="4"/>
  <c r="W84" i="4" s="1"/>
  <c r="L84" i="4" s="1"/>
  <c r="J84" i="4"/>
  <c r="J85" i="4"/>
  <c r="T85" i="4"/>
  <c r="W85" i="4" s="1"/>
  <c r="L85" i="4" s="1"/>
  <c r="J82" i="4"/>
  <c r="T82" i="4"/>
  <c r="W82" i="4" s="1"/>
  <c r="L82" i="4" s="1"/>
  <c r="T86" i="4"/>
  <c r="W86" i="4" s="1"/>
  <c r="J86" i="4"/>
  <c r="L296" i="4"/>
  <c r="M296" i="4" s="1"/>
  <c r="I298" i="4"/>
  <c r="L301" i="4"/>
  <c r="M301" i="4" s="1"/>
  <c r="J298" i="4"/>
  <c r="T298" i="4"/>
  <c r="W298" i="4" s="1"/>
  <c r="F92" i="4"/>
  <c r="I92" i="4" s="1"/>
  <c r="F91" i="4"/>
  <c r="I91" i="4" s="1"/>
  <c r="F90" i="4"/>
  <c r="I90" i="4" s="1"/>
  <c r="F89" i="4"/>
  <c r="I89" i="4" s="1"/>
  <c r="T89" i="4"/>
  <c r="W89" i="4" s="1"/>
  <c r="J89" i="4"/>
  <c r="J90" i="4"/>
  <c r="T90" i="4"/>
  <c r="W90" i="4" s="1"/>
  <c r="J87" i="4"/>
  <c r="T87" i="4"/>
  <c r="W87" i="4" s="1"/>
  <c r="L87" i="4" s="1"/>
  <c r="J92" i="4"/>
  <c r="T92" i="4"/>
  <c r="W92" i="4" s="1"/>
  <c r="J88" i="4"/>
  <c r="T88" i="4"/>
  <c r="W88" i="4" s="1"/>
  <c r="L88" i="4" s="1"/>
  <c r="J91" i="4"/>
  <c r="T91" i="4"/>
  <c r="W91" i="4" s="1"/>
  <c r="T108" i="4"/>
  <c r="W108" i="4" s="1"/>
  <c r="L108" i="4" s="1"/>
  <c r="J108" i="4"/>
  <c r="T109" i="4"/>
  <c r="W109" i="4" s="1"/>
  <c r="L109" i="4" s="1"/>
  <c r="J109" i="4"/>
  <c r="N305" i="4"/>
  <c r="Y305" i="4" s="1"/>
  <c r="L306" i="4"/>
  <c r="M306" i="4" s="1"/>
  <c r="H205" i="4"/>
  <c r="M259" i="4"/>
  <c r="EF2" i="5" s="1"/>
  <c r="N259" i="4"/>
  <c r="Y259" i="4" s="1"/>
  <c r="L69" i="4"/>
  <c r="M69" i="4" s="1"/>
  <c r="M15" i="4"/>
  <c r="N15" i="4"/>
  <c r="I153" i="4"/>
  <c r="I152" i="4"/>
  <c r="I146" i="4"/>
  <c r="I145" i="4"/>
  <c r="F151" i="4"/>
  <c r="F147" i="4"/>
  <c r="O270" i="4"/>
  <c r="I102" i="4"/>
  <c r="J101" i="4"/>
  <c r="T101" i="4"/>
  <c r="W101" i="4" s="1"/>
  <c r="L101" i="4" s="1"/>
  <c r="J102" i="4"/>
  <c r="T102" i="4"/>
  <c r="W102" i="4" s="1"/>
  <c r="N67" i="4"/>
  <c r="Y67" i="4" s="1"/>
  <c r="C129" i="15" s="1"/>
  <c r="G129" i="15" s="1"/>
  <c r="X113" i="15" s="1"/>
  <c r="M19" i="4"/>
  <c r="N19" i="4"/>
  <c r="Y270" i="4"/>
  <c r="C493" i="13" s="1"/>
  <c r="G493" i="13" s="1"/>
  <c r="X881" i="13" s="1"/>
  <c r="O280" i="4"/>
  <c r="P280" i="4"/>
  <c r="J204" i="4"/>
  <c r="I204" i="4" s="1"/>
  <c r="T204" i="4"/>
  <c r="W204" i="4" s="1"/>
  <c r="J203" i="4"/>
  <c r="I203" i="4" s="1"/>
  <c r="T203" i="4"/>
  <c r="W203" i="4" s="1"/>
  <c r="J192" i="4"/>
  <c r="F204" i="4" s="1"/>
  <c r="T192" i="4"/>
  <c r="W192" i="4" s="1"/>
  <c r="L192" i="4" s="1"/>
  <c r="J191" i="4"/>
  <c r="F203" i="4" s="1"/>
  <c r="T191" i="4"/>
  <c r="W191" i="4" s="1"/>
  <c r="L191" i="4" s="1"/>
  <c r="F178" i="4"/>
  <c r="F177" i="4"/>
  <c r="F176" i="4"/>
  <c r="F175" i="4"/>
  <c r="F174" i="4"/>
  <c r="F173" i="4"/>
  <c r="O277" i="4"/>
  <c r="P277" i="4"/>
  <c r="O286" i="4"/>
  <c r="P286" i="4"/>
  <c r="O269" i="4"/>
  <c r="P269" i="4"/>
  <c r="O267" i="4"/>
  <c r="P267" i="4"/>
  <c r="O263" i="4"/>
  <c r="P263" i="4"/>
  <c r="Y234" i="4"/>
  <c r="C346" i="15" s="1"/>
  <c r="G346" i="15" s="1"/>
  <c r="O234" i="4"/>
  <c r="O241" i="4"/>
  <c r="Y241" i="4"/>
  <c r="C368" i="15" s="1"/>
  <c r="L215" i="4"/>
  <c r="N215" i="4" s="1"/>
  <c r="O237" i="4"/>
  <c r="P237" i="4"/>
  <c r="O266" i="4"/>
  <c r="P266" i="4"/>
  <c r="O235" i="4"/>
  <c r="O278" i="4"/>
  <c r="Y235" i="4"/>
  <c r="P278" i="4"/>
  <c r="Y236" i="4"/>
  <c r="C348" i="15" s="1"/>
  <c r="G348" i="15" s="1"/>
  <c r="X471" i="15" s="1"/>
  <c r="O238" i="4"/>
  <c r="P236" i="4"/>
  <c r="C387" i="15"/>
  <c r="P238" i="4"/>
  <c r="X592" i="15"/>
  <c r="C504" i="15"/>
  <c r="G504" i="15" s="1"/>
  <c r="X802" i="15" s="1"/>
  <c r="B51" i="13"/>
  <c r="B53" i="13" s="1"/>
  <c r="P14" i="13" s="1"/>
  <c r="B51" i="15"/>
  <c r="B53" i="15" s="1"/>
  <c r="P14" i="15" s="1"/>
  <c r="B71" i="15"/>
  <c r="B73" i="15" s="1"/>
  <c r="P15" i="15" s="1"/>
  <c r="I66" i="4"/>
  <c r="I65" i="4" s="1"/>
  <c r="L65" i="4" s="1"/>
  <c r="M65" i="4" s="1"/>
  <c r="B128" i="15"/>
  <c r="G19" i="15"/>
  <c r="X31" i="15" s="1"/>
  <c r="C78" i="13"/>
  <c r="G78" i="13" s="1"/>
  <c r="L69" i="13" s="1"/>
  <c r="C78" i="15"/>
  <c r="X782" i="15"/>
  <c r="G38" i="13"/>
  <c r="X42" i="13" s="1"/>
  <c r="G340" i="15"/>
  <c r="X453" i="15" s="1"/>
  <c r="B370" i="13"/>
  <c r="U595" i="13" s="1"/>
  <c r="G38" i="15"/>
  <c r="X44" i="15" s="1"/>
  <c r="G58" i="15"/>
  <c r="X57" i="15" s="1"/>
  <c r="T228" i="4"/>
  <c r="W228" i="4" s="1"/>
  <c r="N218" i="4"/>
  <c r="O218" i="4" s="1"/>
  <c r="J227" i="4"/>
  <c r="T227" i="4"/>
  <c r="W227" i="4" s="1"/>
  <c r="L227" i="4" s="1"/>
  <c r="L216" i="4"/>
  <c r="M216" i="4" s="1"/>
  <c r="C503" i="13"/>
  <c r="G503" i="13" s="1"/>
  <c r="X906" i="13" s="1"/>
  <c r="C500" i="13"/>
  <c r="G500" i="13" s="1"/>
  <c r="X895" i="13" s="1"/>
  <c r="C509" i="13"/>
  <c r="G509" i="13" s="1"/>
  <c r="X919" i="13" s="1"/>
  <c r="C499" i="13"/>
  <c r="G499" i="13" s="1"/>
  <c r="X893" i="13" s="1"/>
  <c r="C486" i="13"/>
  <c r="G486" i="13" s="1"/>
  <c r="P866" i="13" s="1"/>
  <c r="C492" i="13"/>
  <c r="G492" i="13" s="1"/>
  <c r="X878" i="13" s="1"/>
  <c r="C507" i="13"/>
  <c r="G507" i="13" s="1"/>
  <c r="X914" i="13" s="1"/>
  <c r="C497" i="13"/>
  <c r="G497" i="13" s="1"/>
  <c r="P893" i="13" s="1"/>
  <c r="C502" i="13"/>
  <c r="G502" i="13" s="1"/>
  <c r="X903" i="13" s="1"/>
  <c r="C489" i="13"/>
  <c r="G489" i="13" s="1"/>
  <c r="X868" i="13" s="1"/>
  <c r="C490" i="13"/>
  <c r="G490" i="13" s="1"/>
  <c r="X870" i="13" s="1"/>
  <c r="C487" i="13"/>
  <c r="G487" i="13" s="1"/>
  <c r="X866" i="13" s="1"/>
  <c r="C496" i="13"/>
  <c r="G496" i="13" s="1"/>
  <c r="P891" i="13" s="1"/>
  <c r="C501" i="13"/>
  <c r="G501" i="13" s="1"/>
  <c r="X899" i="13" s="1"/>
  <c r="P232" i="4"/>
  <c r="O231" i="4"/>
  <c r="Y230" i="4"/>
  <c r="C344" i="15" s="1"/>
  <c r="G344" i="15" s="1"/>
  <c r="X467" i="15" s="1"/>
  <c r="P275" i="4"/>
  <c r="Y275" i="4"/>
  <c r="C493" i="15" s="1"/>
  <c r="G493" i="15" s="1"/>
  <c r="P304" i="4"/>
  <c r="Y304" i="4"/>
  <c r="O304" i="4"/>
  <c r="P300" i="4"/>
  <c r="Y300" i="4"/>
  <c r="O300" i="4"/>
  <c r="P299" i="4"/>
  <c r="Y299" i="4"/>
  <c r="O299" i="4"/>
  <c r="J303" i="4"/>
  <c r="T303" i="4"/>
  <c r="W303" i="4" s="1"/>
  <c r="L303" i="4" s="1"/>
  <c r="M302" i="4"/>
  <c r="EC2" i="5" s="1"/>
  <c r="N302" i="4"/>
  <c r="M295" i="4"/>
  <c r="DZ2" i="5" s="1"/>
  <c r="N295" i="4"/>
  <c r="P294" i="4"/>
  <c r="Y294" i="4"/>
  <c r="O294" i="4"/>
  <c r="Y293" i="4"/>
  <c r="P293" i="4"/>
  <c r="O293" i="4"/>
  <c r="P292" i="4"/>
  <c r="Y292" i="4"/>
  <c r="O292" i="4"/>
  <c r="Y291" i="4"/>
  <c r="P291" i="4"/>
  <c r="O291" i="4"/>
  <c r="Y211" i="4"/>
  <c r="P226" i="4"/>
  <c r="J290" i="4"/>
  <c r="I290" i="4" s="1"/>
  <c r="I289" i="4" s="1"/>
  <c r="L289" i="4" s="1"/>
  <c r="M289" i="4" s="1"/>
  <c r="T290" i="4"/>
  <c r="W290" i="4" s="1"/>
  <c r="O225" i="4"/>
  <c r="O232" i="4"/>
  <c r="Y231" i="4"/>
  <c r="C345" i="15" s="1"/>
  <c r="G345" i="15" s="1"/>
  <c r="X469" i="15" s="1"/>
  <c r="Y222" i="4"/>
  <c r="Y225" i="4"/>
  <c r="P272" i="4"/>
  <c r="P222" i="4"/>
  <c r="O276" i="4"/>
  <c r="P230" i="4"/>
  <c r="O221" i="4"/>
  <c r="Y224" i="4"/>
  <c r="O233" i="4"/>
  <c r="Y233" i="4"/>
  <c r="O279" i="4"/>
  <c r="O274" i="4"/>
  <c r="P279" i="4"/>
  <c r="O226" i="4"/>
  <c r="P229" i="4"/>
  <c r="P211" i="4"/>
  <c r="O229" i="4"/>
  <c r="Y220" i="4"/>
  <c r="O264" i="4"/>
  <c r="O224" i="4"/>
  <c r="O220" i="4"/>
  <c r="Y213" i="4"/>
  <c r="P213" i="4"/>
  <c r="P276" i="4"/>
  <c r="O273" i="4"/>
  <c r="P273" i="4"/>
  <c r="N219" i="4"/>
  <c r="P223" i="4"/>
  <c r="Y221" i="4"/>
  <c r="O217" i="4"/>
  <c r="O223" i="4"/>
  <c r="Y217" i="4"/>
  <c r="Y265" i="4"/>
  <c r="C483" i="15" s="1"/>
  <c r="O284" i="4"/>
  <c r="L212" i="4"/>
  <c r="M212" i="4" s="1"/>
  <c r="P274" i="4"/>
  <c r="P284" i="4"/>
  <c r="O265" i="4"/>
  <c r="Y268" i="4"/>
  <c r="C486" i="15" s="1"/>
  <c r="G486" i="15" s="1"/>
  <c r="X772" i="15" s="1"/>
  <c r="Y272" i="4"/>
  <c r="C490" i="15" s="1"/>
  <c r="G490" i="15" s="1"/>
  <c r="X778" i="15" s="1"/>
  <c r="P268" i="4"/>
  <c r="P264" i="4"/>
  <c r="O239" i="4"/>
  <c r="F257" i="4"/>
  <c r="J257" i="4"/>
  <c r="I257" i="4" s="1"/>
  <c r="T257" i="4"/>
  <c r="W257" i="4" s="1"/>
  <c r="C412" i="13"/>
  <c r="G412" i="13" s="1"/>
  <c r="X692" i="13" s="1"/>
  <c r="C414" i="13"/>
  <c r="G414" i="13" s="1"/>
  <c r="X701" i="13" s="1"/>
  <c r="C413" i="13"/>
  <c r="G413" i="13" s="1"/>
  <c r="X696" i="13" s="1"/>
  <c r="C410" i="13"/>
  <c r="G410" i="13" s="1"/>
  <c r="C411" i="13"/>
  <c r="G411" i="13" s="1"/>
  <c r="X688" i="13" s="1"/>
  <c r="P239" i="4"/>
  <c r="O209" i="4"/>
  <c r="Y209" i="4"/>
  <c r="D78" i="13"/>
  <c r="L200" i="4"/>
  <c r="M200" i="4" s="1"/>
  <c r="BY2" i="5" s="1"/>
  <c r="N190" i="4"/>
  <c r="Y190" i="4" s="1"/>
  <c r="C268" i="15" s="1"/>
  <c r="G268" i="15" s="1"/>
  <c r="T382" i="15" s="1"/>
  <c r="F202" i="4"/>
  <c r="N202" i="4" s="1"/>
  <c r="N189" i="4"/>
  <c r="P189" i="4" s="1"/>
  <c r="F201" i="4"/>
  <c r="N188" i="4"/>
  <c r="Y188" i="4" s="1"/>
  <c r="C266" i="15" s="1"/>
  <c r="G266" i="15" s="1"/>
  <c r="T380" i="15" s="1"/>
  <c r="N187" i="4"/>
  <c r="O187" i="4" s="1"/>
  <c r="F199" i="4"/>
  <c r="L201" i="4"/>
  <c r="M201" i="4" s="1"/>
  <c r="BZ2" i="5" s="1"/>
  <c r="L199" i="4"/>
  <c r="M199" i="4" s="1"/>
  <c r="BX2" i="5" s="1"/>
  <c r="N68" i="4"/>
  <c r="Y68" i="4" s="1"/>
  <c r="F142" i="4"/>
  <c r="I142" i="4" s="1"/>
  <c r="J170" i="4"/>
  <c r="T170" i="4"/>
  <c r="W170" i="4" s="1"/>
  <c r="J156" i="4"/>
  <c r="T156" i="4"/>
  <c r="W156" i="4" s="1"/>
  <c r="J163" i="4"/>
  <c r="T163" i="4"/>
  <c r="W163" i="4" s="1"/>
  <c r="J161" i="4"/>
  <c r="T161" i="4"/>
  <c r="W161" i="4" s="1"/>
  <c r="J176" i="4"/>
  <c r="T176" i="4"/>
  <c r="W176" i="4" s="1"/>
  <c r="J157" i="4"/>
  <c r="T157" i="4"/>
  <c r="W157" i="4" s="1"/>
  <c r="J164" i="4"/>
  <c r="T164" i="4"/>
  <c r="W164" i="4" s="1"/>
  <c r="J171" i="4"/>
  <c r="T171" i="4"/>
  <c r="W171" i="4" s="1"/>
  <c r="J175" i="4"/>
  <c r="T175" i="4"/>
  <c r="W175" i="4" s="1"/>
  <c r="J160" i="4"/>
  <c r="F162" i="4" s="1"/>
  <c r="T160" i="4"/>
  <c r="W160" i="4" s="1"/>
  <c r="J167" i="4"/>
  <c r="T167" i="4"/>
  <c r="W167" i="4" s="1"/>
  <c r="J165" i="4"/>
  <c r="T165" i="4"/>
  <c r="W165" i="4" s="1"/>
  <c r="J173" i="4"/>
  <c r="T173" i="4"/>
  <c r="W173" i="4" s="1"/>
  <c r="J166" i="4"/>
  <c r="T166" i="4"/>
  <c r="W166" i="4" s="1"/>
  <c r="J178" i="4"/>
  <c r="T178" i="4"/>
  <c r="W178" i="4" s="1"/>
  <c r="J159" i="4"/>
  <c r="T159" i="4"/>
  <c r="W159" i="4" s="1"/>
  <c r="J162" i="4"/>
  <c r="T162" i="4"/>
  <c r="W162" i="4" s="1"/>
  <c r="J174" i="4"/>
  <c r="T174" i="4"/>
  <c r="W174" i="4" s="1"/>
  <c r="J155" i="4"/>
  <c r="T155" i="4"/>
  <c r="W155" i="4" s="1"/>
  <c r="J158" i="4"/>
  <c r="T158" i="4"/>
  <c r="W158" i="4" s="1"/>
  <c r="J169" i="4"/>
  <c r="T169" i="4"/>
  <c r="W169" i="4" s="1"/>
  <c r="J177" i="4"/>
  <c r="I177" i="4" s="1"/>
  <c r="T177" i="4"/>
  <c r="W177" i="4" s="1"/>
  <c r="N73" i="4"/>
  <c r="Y73" i="4" s="1"/>
  <c r="F154" i="4"/>
  <c r="I154" i="4" s="1"/>
  <c r="I151" i="4"/>
  <c r="F150" i="4"/>
  <c r="I150" i="4" s="1"/>
  <c r="F149" i="4"/>
  <c r="I149" i="4" s="1"/>
  <c r="I147" i="4"/>
  <c r="F144" i="4"/>
  <c r="I144" i="4" s="1"/>
  <c r="F143" i="4"/>
  <c r="I143" i="4" s="1"/>
  <c r="N72" i="4"/>
  <c r="Y72" i="4" s="1"/>
  <c r="N71" i="4"/>
  <c r="O71" i="4" s="1"/>
  <c r="N93" i="4"/>
  <c r="O93" i="4" s="1"/>
  <c r="N95" i="4"/>
  <c r="O95" i="4" s="1"/>
  <c r="I122" i="4"/>
  <c r="I126" i="4"/>
  <c r="I125" i="4"/>
  <c r="I124" i="4"/>
  <c r="I131" i="4"/>
  <c r="F131" i="4"/>
  <c r="N106" i="4"/>
  <c r="O106" i="4" s="1"/>
  <c r="F126" i="4"/>
  <c r="F124" i="4"/>
  <c r="F125" i="4"/>
  <c r="F122" i="4"/>
  <c r="N105" i="4"/>
  <c r="O105" i="4" s="1"/>
  <c r="N75" i="4"/>
  <c r="Y75" i="4" s="1"/>
  <c r="L100" i="4"/>
  <c r="M100" i="4" s="1"/>
  <c r="L78" i="4"/>
  <c r="N78" i="4" s="1"/>
  <c r="M97" i="4"/>
  <c r="EL2" i="5" s="1"/>
  <c r="N97" i="4"/>
  <c r="N80" i="4"/>
  <c r="Y80" i="4" s="1"/>
  <c r="N94" i="4"/>
  <c r="P94" i="4" s="1"/>
  <c r="N103" i="4"/>
  <c r="O103" i="4" s="1"/>
  <c r="N104" i="4"/>
  <c r="O104" i="4" s="1"/>
  <c r="L76" i="4"/>
  <c r="M76" i="4" s="1"/>
  <c r="W2" i="5" s="1"/>
  <c r="L70" i="4"/>
  <c r="M70" i="4" s="1"/>
  <c r="N64" i="4"/>
  <c r="O64" i="4" s="1"/>
  <c r="N59" i="4"/>
  <c r="Y59" i="4" s="1"/>
  <c r="L77" i="4"/>
  <c r="M77" i="4" s="1"/>
  <c r="X2" i="5" s="1"/>
  <c r="N39" i="4"/>
  <c r="P39" i="4" s="1"/>
  <c r="N51" i="4"/>
  <c r="O51" i="4" s="1"/>
  <c r="L81" i="4"/>
  <c r="M81" i="4" s="1"/>
  <c r="N49" i="4"/>
  <c r="O49" i="4" s="1"/>
  <c r="L79" i="4"/>
  <c r="M79" i="4" s="1"/>
  <c r="N74" i="4"/>
  <c r="P74" i="4" s="1"/>
  <c r="N54" i="4"/>
  <c r="O54" i="4" s="1"/>
  <c r="J124" i="4"/>
  <c r="T124" i="4"/>
  <c r="W124" i="4" s="1"/>
  <c r="J127" i="4"/>
  <c r="T127" i="4"/>
  <c r="W127" i="4" s="1"/>
  <c r="L127" i="4" s="1"/>
  <c r="J193" i="4"/>
  <c r="T193" i="4"/>
  <c r="W193" i="4" s="1"/>
  <c r="J130" i="4"/>
  <c r="T130" i="4"/>
  <c r="W130" i="4" s="1"/>
  <c r="L130" i="4" s="1"/>
  <c r="J183" i="4"/>
  <c r="F195" i="4" s="1"/>
  <c r="T183" i="4"/>
  <c r="W183" i="4" s="1"/>
  <c r="L183" i="4" s="1"/>
  <c r="J196" i="4"/>
  <c r="T196" i="4"/>
  <c r="W196" i="4" s="1"/>
  <c r="J138" i="4"/>
  <c r="T138" i="4"/>
  <c r="W138" i="4" s="1"/>
  <c r="L138" i="4" s="1"/>
  <c r="J186" i="4"/>
  <c r="F198" i="4" s="1"/>
  <c r="T186" i="4"/>
  <c r="W186" i="4" s="1"/>
  <c r="L186" i="4" s="1"/>
  <c r="J141" i="4"/>
  <c r="T141" i="4"/>
  <c r="W141" i="4" s="1"/>
  <c r="L141" i="4" s="1"/>
  <c r="J110" i="4"/>
  <c r="T110" i="4"/>
  <c r="W110" i="4" s="1"/>
  <c r="L110" i="4" s="1"/>
  <c r="J144" i="4"/>
  <c r="T144" i="4"/>
  <c r="W144" i="4" s="1"/>
  <c r="J113" i="4"/>
  <c r="T113" i="4"/>
  <c r="W113" i="4" s="1"/>
  <c r="L113" i="4" s="1"/>
  <c r="J147" i="4"/>
  <c r="T147" i="4"/>
  <c r="W147" i="4" s="1"/>
  <c r="J116" i="4"/>
  <c r="T116" i="4"/>
  <c r="W116" i="4" s="1"/>
  <c r="L116" i="4" s="1"/>
  <c r="J150" i="4"/>
  <c r="T150" i="4"/>
  <c r="W150" i="4" s="1"/>
  <c r="J119" i="4"/>
  <c r="T119" i="4"/>
  <c r="W119" i="4" s="1"/>
  <c r="L119" i="4" s="1"/>
  <c r="J153" i="4"/>
  <c r="T153" i="4"/>
  <c r="W153" i="4" s="1"/>
  <c r="J122" i="4"/>
  <c r="T122" i="4"/>
  <c r="W122" i="4" s="1"/>
  <c r="J125" i="4"/>
  <c r="T125" i="4"/>
  <c r="W125" i="4" s="1"/>
  <c r="J180" i="4"/>
  <c r="T180" i="4"/>
  <c r="W180" i="4" s="1"/>
  <c r="J128" i="4"/>
  <c r="T128" i="4"/>
  <c r="W128" i="4" s="1"/>
  <c r="L128" i="4" s="1"/>
  <c r="J182" i="4"/>
  <c r="F194" i="4" s="1"/>
  <c r="T182" i="4"/>
  <c r="W182" i="4" s="1"/>
  <c r="L182" i="4" s="1"/>
  <c r="J131" i="4"/>
  <c r="T131" i="4"/>
  <c r="W131" i="4" s="1"/>
  <c r="J195" i="4"/>
  <c r="T195" i="4"/>
  <c r="W195" i="4" s="1"/>
  <c r="J136" i="4"/>
  <c r="T136" i="4"/>
  <c r="W136" i="4" s="1"/>
  <c r="L136" i="4" s="1"/>
  <c r="J185" i="4"/>
  <c r="F197" i="4" s="1"/>
  <c r="T185" i="4"/>
  <c r="W185" i="4" s="1"/>
  <c r="L185" i="4" s="1"/>
  <c r="J139" i="4"/>
  <c r="T139" i="4"/>
  <c r="W139" i="4" s="1"/>
  <c r="L139" i="4" s="1"/>
  <c r="J198" i="4"/>
  <c r="I198" i="4" s="1"/>
  <c r="T198" i="4"/>
  <c r="W198" i="4" s="1"/>
  <c r="J142" i="4"/>
  <c r="T142" i="4"/>
  <c r="W142" i="4" s="1"/>
  <c r="J111" i="4"/>
  <c r="T111" i="4"/>
  <c r="W111" i="4" s="1"/>
  <c r="L111" i="4" s="1"/>
  <c r="J145" i="4"/>
  <c r="T145" i="4"/>
  <c r="W145" i="4" s="1"/>
  <c r="J114" i="4"/>
  <c r="T114" i="4"/>
  <c r="W114" i="4" s="1"/>
  <c r="L114" i="4" s="1"/>
  <c r="J148" i="4"/>
  <c r="T148" i="4"/>
  <c r="W148" i="4" s="1"/>
  <c r="L148" i="4" s="1"/>
  <c r="J117" i="4"/>
  <c r="T117" i="4"/>
  <c r="W117" i="4" s="1"/>
  <c r="L117" i="4" s="1"/>
  <c r="J151" i="4"/>
  <c r="T151" i="4"/>
  <c r="W151" i="4" s="1"/>
  <c r="J120" i="4"/>
  <c r="T120" i="4"/>
  <c r="W120" i="4" s="1"/>
  <c r="L120" i="4" s="1"/>
  <c r="J154" i="4"/>
  <c r="T154" i="4"/>
  <c r="W154" i="4" s="1"/>
  <c r="J123" i="4"/>
  <c r="T123" i="4"/>
  <c r="W123" i="4" s="1"/>
  <c r="L123" i="4" s="1"/>
  <c r="J126" i="4"/>
  <c r="T126" i="4"/>
  <c r="W126" i="4" s="1"/>
  <c r="J181" i="4"/>
  <c r="F193" i="4" s="1"/>
  <c r="T181" i="4"/>
  <c r="W181" i="4" s="1"/>
  <c r="L181" i="4" s="1"/>
  <c r="J129" i="4"/>
  <c r="T129" i="4"/>
  <c r="W129" i="4" s="1"/>
  <c r="L129" i="4" s="1"/>
  <c r="J194" i="4"/>
  <c r="I194" i="4" s="1"/>
  <c r="T194" i="4"/>
  <c r="W194" i="4" s="1"/>
  <c r="J132" i="4"/>
  <c r="T132" i="4"/>
  <c r="W132" i="4" s="1"/>
  <c r="L132" i="4" s="1"/>
  <c r="J184" i="4"/>
  <c r="F196" i="4" s="1"/>
  <c r="T184" i="4"/>
  <c r="W184" i="4" s="1"/>
  <c r="L184" i="4" s="1"/>
  <c r="J137" i="4"/>
  <c r="T137" i="4"/>
  <c r="W137" i="4" s="1"/>
  <c r="L137" i="4" s="1"/>
  <c r="J197" i="4"/>
  <c r="I197" i="4" s="1"/>
  <c r="T197" i="4"/>
  <c r="W197" i="4" s="1"/>
  <c r="J140" i="4"/>
  <c r="T140" i="4"/>
  <c r="W140" i="4" s="1"/>
  <c r="L140" i="4" s="1"/>
  <c r="J107" i="4"/>
  <c r="T107" i="4"/>
  <c r="W107" i="4" s="1"/>
  <c r="L107" i="4" s="1"/>
  <c r="J143" i="4"/>
  <c r="T143" i="4"/>
  <c r="W143" i="4" s="1"/>
  <c r="J112" i="4"/>
  <c r="T112" i="4"/>
  <c r="W112" i="4" s="1"/>
  <c r="L112" i="4" s="1"/>
  <c r="J146" i="4"/>
  <c r="T146" i="4"/>
  <c r="W146" i="4" s="1"/>
  <c r="J115" i="4"/>
  <c r="T115" i="4"/>
  <c r="W115" i="4" s="1"/>
  <c r="L115" i="4" s="1"/>
  <c r="J149" i="4"/>
  <c r="T149" i="4"/>
  <c r="W149" i="4" s="1"/>
  <c r="J118" i="4"/>
  <c r="T118" i="4"/>
  <c r="W118" i="4" s="1"/>
  <c r="L118" i="4" s="1"/>
  <c r="J152" i="4"/>
  <c r="T152" i="4"/>
  <c r="W152" i="4" s="1"/>
  <c r="J121" i="4"/>
  <c r="T121" i="4"/>
  <c r="W121" i="4" s="1"/>
  <c r="L121" i="4" s="1"/>
  <c r="J133" i="4"/>
  <c r="T133" i="4"/>
  <c r="W133" i="4" s="1"/>
  <c r="L133" i="4" s="1"/>
  <c r="N46" i="4"/>
  <c r="P46" i="4" s="1"/>
  <c r="N48" i="4"/>
  <c r="P48" i="4" s="1"/>
  <c r="N53" i="4"/>
  <c r="O53" i="4" s="1"/>
  <c r="N58" i="4"/>
  <c r="P58" i="4" s="1"/>
  <c r="N47" i="4"/>
  <c r="Y47" i="4" s="1"/>
  <c r="N63" i="4"/>
  <c r="O63" i="4" s="1"/>
  <c r="N45" i="4"/>
  <c r="Y45" i="4" s="1"/>
  <c r="N50" i="4"/>
  <c r="O50" i="4" s="1"/>
  <c r="N52" i="4"/>
  <c r="O52" i="4" s="1"/>
  <c r="N60" i="4"/>
  <c r="P60" i="4" s="1"/>
  <c r="I62" i="4"/>
  <c r="L62" i="4" s="1"/>
  <c r="I61" i="4"/>
  <c r="L61" i="4" s="1"/>
  <c r="M74" i="4"/>
  <c r="U2" i="5" s="1"/>
  <c r="M73" i="4"/>
  <c r="T2" i="5" s="1"/>
  <c r="M75" i="4"/>
  <c r="V2" i="5" s="1"/>
  <c r="B71" i="13"/>
  <c r="B73" i="13" s="1"/>
  <c r="P15" i="13" s="1"/>
  <c r="P44" i="4"/>
  <c r="Y44" i="4"/>
  <c r="C84" i="15" s="1"/>
  <c r="G84" i="15" s="1"/>
  <c r="X81" i="15" s="1"/>
  <c r="O44" i="4"/>
  <c r="M72" i="4"/>
  <c r="S2" i="5" s="1"/>
  <c r="M71" i="4"/>
  <c r="R2" i="5" s="1"/>
  <c r="M190" i="4"/>
  <c r="BO2" i="5" s="1"/>
  <c r="M188" i="4"/>
  <c r="BM2" i="5" s="1"/>
  <c r="M95" i="4"/>
  <c r="AB2" i="5" s="1"/>
  <c r="M105" i="4"/>
  <c r="M68" i="4"/>
  <c r="Q2" i="5" s="1"/>
  <c r="M80" i="4"/>
  <c r="M64" i="4"/>
  <c r="M189" i="4"/>
  <c r="BN2" i="5" s="1"/>
  <c r="M93" i="4"/>
  <c r="Z2" i="5" s="1"/>
  <c r="M106" i="4"/>
  <c r="O42" i="4"/>
  <c r="P42" i="4"/>
  <c r="Y42" i="4"/>
  <c r="C82" i="15" s="1"/>
  <c r="G82" i="15" s="1"/>
  <c r="L81" i="15" s="1"/>
  <c r="G23" i="13"/>
  <c r="L34" i="13" s="1"/>
  <c r="G64" i="13"/>
  <c r="X59" i="13" s="1"/>
  <c r="P43" i="4"/>
  <c r="O43" i="4"/>
  <c r="Y43" i="4"/>
  <c r="B95" i="13"/>
  <c r="J55" i="4"/>
  <c r="I56" i="4" s="1"/>
  <c r="L56" i="4" s="1"/>
  <c r="T55" i="4"/>
  <c r="W55" i="4" s="1"/>
  <c r="L55" i="4" s="1"/>
  <c r="M39" i="4"/>
  <c r="I40" i="4" s="1"/>
  <c r="L40" i="4" s="1"/>
  <c r="M40" i="4" s="1"/>
  <c r="M67" i="4"/>
  <c r="P2" i="5" s="1"/>
  <c r="M104" i="4"/>
  <c r="M94" i="4"/>
  <c r="AA2" i="5" s="1"/>
  <c r="M103" i="4"/>
  <c r="M187" i="4"/>
  <c r="BL2" i="5" s="1"/>
  <c r="B395" i="15"/>
  <c r="B417" i="13"/>
  <c r="B416" i="13"/>
  <c r="H179" i="4"/>
  <c r="B418" i="13"/>
  <c r="B394" i="15"/>
  <c r="B396" i="15"/>
  <c r="B545" i="15" l="1"/>
  <c r="W844" i="15" s="1"/>
  <c r="B363" i="15"/>
  <c r="W837" i="15" s="1"/>
  <c r="B549" i="13"/>
  <c r="I440" i="15"/>
  <c r="B388" i="13"/>
  <c r="H334" i="4"/>
  <c r="M335" i="4"/>
  <c r="N335" i="4"/>
  <c r="J320" i="4"/>
  <c r="N320" i="4" s="1"/>
  <c r="T312" i="4"/>
  <c r="P784" i="15"/>
  <c r="H313" i="4"/>
  <c r="B476" i="15" s="1"/>
  <c r="H331" i="4"/>
  <c r="H326" i="4"/>
  <c r="H327" i="4" s="1"/>
  <c r="H329" i="4" s="1"/>
  <c r="M310" i="4"/>
  <c r="J328" i="4"/>
  <c r="T328" i="4"/>
  <c r="B292" i="13"/>
  <c r="I490" i="13" s="1"/>
  <c r="H321" i="4"/>
  <c r="H322" i="4"/>
  <c r="T320" i="4"/>
  <c r="H318" i="4"/>
  <c r="H317" i="4"/>
  <c r="H314" i="4"/>
  <c r="H316" i="4" s="1"/>
  <c r="N310" i="4"/>
  <c r="P310" i="4" s="1"/>
  <c r="J309" i="4"/>
  <c r="T309" i="4"/>
  <c r="J312" i="4"/>
  <c r="M312" i="4" s="1"/>
  <c r="I307" i="4"/>
  <c r="D221" i="13"/>
  <c r="B236" i="13" s="1"/>
  <c r="C236" i="13" s="1"/>
  <c r="D216" i="15"/>
  <c r="B229" i="15" s="1"/>
  <c r="C229" i="15" s="1"/>
  <c r="I260" i="15" s="1"/>
  <c r="M135" i="4"/>
  <c r="EV2" i="5" s="1"/>
  <c r="N135" i="4"/>
  <c r="M134" i="4"/>
  <c r="EU2" i="5" s="1"/>
  <c r="N134" i="4"/>
  <c r="M99" i="4"/>
  <c r="ET2" i="5" s="1"/>
  <c r="N99" i="4"/>
  <c r="M98" i="4"/>
  <c r="ES2" i="5" s="1"/>
  <c r="N98" i="4"/>
  <c r="O96" i="4"/>
  <c r="Y96" i="4"/>
  <c r="C157" i="13" s="1"/>
  <c r="G157" i="13" s="1"/>
  <c r="X187" i="13" s="1"/>
  <c r="P96" i="4"/>
  <c r="I86" i="4"/>
  <c r="L86" i="4" s="1"/>
  <c r="M82" i="4"/>
  <c r="EM2" i="5" s="1"/>
  <c r="N82" i="4"/>
  <c r="M85" i="4"/>
  <c r="EP2" i="5" s="1"/>
  <c r="N85" i="4"/>
  <c r="M84" i="4"/>
  <c r="EO2" i="5" s="1"/>
  <c r="N84" i="4"/>
  <c r="M83" i="4"/>
  <c r="EN2" i="5" s="1"/>
  <c r="N83" i="4"/>
  <c r="P305" i="4"/>
  <c r="C532" i="13"/>
  <c r="G532" i="13" s="1"/>
  <c r="X790" i="13" s="1"/>
  <c r="C528" i="15"/>
  <c r="G528" i="15" s="1"/>
  <c r="X688" i="15" s="1"/>
  <c r="N301" i="4"/>
  <c r="O301" i="4" s="1"/>
  <c r="N296" i="4"/>
  <c r="P296" i="4" s="1"/>
  <c r="L298" i="4"/>
  <c r="M298" i="4" s="1"/>
  <c r="L92" i="4"/>
  <c r="M92" i="4" s="1"/>
  <c r="L91" i="4"/>
  <c r="M91" i="4" s="1"/>
  <c r="L89" i="4"/>
  <c r="M89" i="4" s="1"/>
  <c r="L90" i="4"/>
  <c r="M90" i="4" s="1"/>
  <c r="M87" i="4"/>
  <c r="EG2" i="5" s="1"/>
  <c r="N87" i="4"/>
  <c r="M88" i="4"/>
  <c r="EQ2" i="5" s="1"/>
  <c r="N88" i="4"/>
  <c r="M109" i="4"/>
  <c r="EI2" i="5" s="1"/>
  <c r="N109" i="4"/>
  <c r="M108" i="4"/>
  <c r="EH2" i="5" s="1"/>
  <c r="N108" i="4"/>
  <c r="O305" i="4"/>
  <c r="N306" i="4"/>
  <c r="O306" i="4" s="1"/>
  <c r="B291" i="13"/>
  <c r="B283" i="15"/>
  <c r="I196" i="4"/>
  <c r="L196" i="4" s="1"/>
  <c r="M196" i="4" s="1"/>
  <c r="BU2" i="5" s="1"/>
  <c r="I195" i="4"/>
  <c r="L195" i="4" s="1"/>
  <c r="J205" i="4"/>
  <c r="I205" i="4" s="1"/>
  <c r="Z205" i="4" s="1"/>
  <c r="D283" i="15" s="1"/>
  <c r="N385" i="15" s="1"/>
  <c r="T205" i="4"/>
  <c r="W205" i="4" s="1"/>
  <c r="I193" i="4"/>
  <c r="L193" i="4" s="1"/>
  <c r="M193" i="4" s="1"/>
  <c r="BR2" i="5" s="1"/>
  <c r="C468" i="13"/>
  <c r="C462" i="15"/>
  <c r="G462" i="15" s="1"/>
  <c r="X818" i="15" s="1"/>
  <c r="P259" i="4"/>
  <c r="O259" i="4"/>
  <c r="N69" i="4"/>
  <c r="P69" i="4" s="1"/>
  <c r="O15" i="4"/>
  <c r="Y15" i="4"/>
  <c r="P15" i="4"/>
  <c r="L102" i="4"/>
  <c r="M102" i="4" s="1"/>
  <c r="P67" i="4"/>
  <c r="O67" i="4"/>
  <c r="M101" i="4"/>
  <c r="N101" i="4"/>
  <c r="O19" i="4"/>
  <c r="Y19" i="4"/>
  <c r="P19" i="4"/>
  <c r="I173" i="4"/>
  <c r="L173" i="4" s="1"/>
  <c r="N173" i="4" s="1"/>
  <c r="I175" i="4"/>
  <c r="L175" i="4" s="1"/>
  <c r="M175" i="4" s="1"/>
  <c r="BA2" i="5" s="1"/>
  <c r="I176" i="4"/>
  <c r="L176" i="4" s="1"/>
  <c r="N176" i="4" s="1"/>
  <c r="I174" i="4"/>
  <c r="L174" i="4" s="1"/>
  <c r="N174" i="4" s="1"/>
  <c r="I180" i="4"/>
  <c r="Z180" i="4" s="1"/>
  <c r="D266" i="13" s="1"/>
  <c r="I488" i="13" s="1"/>
  <c r="I254" i="4"/>
  <c r="Z254" i="4" s="1"/>
  <c r="I287" i="4"/>
  <c r="H288" i="4"/>
  <c r="I258" i="4"/>
  <c r="Z258" i="4" s="1"/>
  <c r="D446" i="15" s="1"/>
  <c r="U494" i="15" s="1"/>
  <c r="I256" i="4"/>
  <c r="Z256" i="4" s="1"/>
  <c r="D429" i="15" s="1"/>
  <c r="I548" i="15" s="1"/>
  <c r="I252" i="4"/>
  <c r="L252" i="4" s="1"/>
  <c r="I253" i="4"/>
  <c r="I178" i="4"/>
  <c r="L178" i="4" s="1"/>
  <c r="M178" i="4" s="1"/>
  <c r="BD2" i="5" s="1"/>
  <c r="I250" i="4"/>
  <c r="Z250" i="4" s="1"/>
  <c r="I251" i="4"/>
  <c r="I41" i="4"/>
  <c r="L41" i="4" s="1"/>
  <c r="M41" i="4" s="1"/>
  <c r="L281" i="4"/>
  <c r="M281" i="4" s="1"/>
  <c r="DP2" i="5" s="1"/>
  <c r="I261" i="4"/>
  <c r="L261" i="4" s="1"/>
  <c r="M261" i="4" s="1"/>
  <c r="DL2" i="5" s="1"/>
  <c r="I271" i="4"/>
  <c r="I155" i="4"/>
  <c r="I240" i="4"/>
  <c r="I165" i="4"/>
  <c r="I160" i="4"/>
  <c r="L203" i="4"/>
  <c r="M203" i="4" s="1"/>
  <c r="CB2" i="5" s="1"/>
  <c r="L204" i="4"/>
  <c r="M204" i="4" s="1"/>
  <c r="CC2" i="5" s="1"/>
  <c r="T179" i="4"/>
  <c r="W179" i="4" s="1"/>
  <c r="J179" i="4"/>
  <c r="F261" i="4"/>
  <c r="B258" i="15"/>
  <c r="I372" i="15" s="1"/>
  <c r="F271" i="4"/>
  <c r="M192" i="4"/>
  <c r="BQ2" i="5" s="1"/>
  <c r="N192" i="4"/>
  <c r="M191" i="4"/>
  <c r="BP2" i="5" s="1"/>
  <c r="N191" i="4"/>
  <c r="L194" i="4"/>
  <c r="M194" i="4" s="1"/>
  <c r="BS2" i="5" s="1"/>
  <c r="L177" i="4"/>
  <c r="M177" i="4" s="1"/>
  <c r="BC2" i="5" s="1"/>
  <c r="F156" i="4"/>
  <c r="I156" i="4" s="1"/>
  <c r="L156" i="4" s="1"/>
  <c r="M156" i="4" s="1"/>
  <c r="X468" i="15"/>
  <c r="G368" i="15"/>
  <c r="X508" i="15" s="1"/>
  <c r="M215" i="4"/>
  <c r="O215" i="4"/>
  <c r="Y215" i="4"/>
  <c r="C357" i="13" s="1"/>
  <c r="G357" i="13" s="1"/>
  <c r="P592" i="13" s="1"/>
  <c r="P215" i="4"/>
  <c r="C347" i="15"/>
  <c r="G347" i="15" s="1"/>
  <c r="X470" i="15" s="1"/>
  <c r="B52" i="13"/>
  <c r="O14" i="13" s="1"/>
  <c r="B397" i="15"/>
  <c r="B399" i="15" s="1"/>
  <c r="G387" i="15"/>
  <c r="X579" i="15" s="1"/>
  <c r="P218" i="4"/>
  <c r="Y218" i="4"/>
  <c r="O72" i="4"/>
  <c r="B52" i="15"/>
  <c r="X41" i="15" s="1"/>
  <c r="C136" i="13"/>
  <c r="G136" i="13" s="1"/>
  <c r="X123" i="13" s="1"/>
  <c r="C133" i="13"/>
  <c r="G133" i="13" s="1"/>
  <c r="X120" i="13" s="1"/>
  <c r="C134" i="15"/>
  <c r="G134" i="15" s="1"/>
  <c r="X122" i="15" s="1"/>
  <c r="C134" i="13"/>
  <c r="G134" i="13" s="1"/>
  <c r="X121" i="13" s="1"/>
  <c r="C135" i="15"/>
  <c r="G135" i="15" s="1"/>
  <c r="X123" i="15" s="1"/>
  <c r="C536" i="13"/>
  <c r="G536" i="13" s="1"/>
  <c r="X831" i="13" s="1"/>
  <c r="C532" i="15"/>
  <c r="G532" i="15" s="1"/>
  <c r="X729" i="15" s="1"/>
  <c r="G78" i="15"/>
  <c r="L71" i="15" s="1"/>
  <c r="C85" i="13"/>
  <c r="G85" i="13" s="1"/>
  <c r="C85" i="15"/>
  <c r="G85" i="15" s="1"/>
  <c r="C110" i="13"/>
  <c r="G110" i="13" s="1"/>
  <c r="X97" i="13" s="1"/>
  <c r="C110" i="15"/>
  <c r="G110" i="15" s="1"/>
  <c r="X99" i="15" s="1"/>
  <c r="C129" i="13"/>
  <c r="G129" i="13" s="1"/>
  <c r="C130" i="15"/>
  <c r="G130" i="15" s="1"/>
  <c r="X114" i="15" s="1"/>
  <c r="C527" i="13"/>
  <c r="G527" i="13" s="1"/>
  <c r="X738" i="13" s="1"/>
  <c r="C523" i="15"/>
  <c r="G523" i="15" s="1"/>
  <c r="X638" i="15" s="1"/>
  <c r="C141" i="13"/>
  <c r="G141" i="13" s="1"/>
  <c r="X135" i="13" s="1"/>
  <c r="C142" i="15"/>
  <c r="G142" i="15" s="1"/>
  <c r="X128" i="15" s="1"/>
  <c r="B72" i="15"/>
  <c r="C83" i="13"/>
  <c r="G83" i="13" s="1"/>
  <c r="R79" i="13" s="1"/>
  <c r="C83" i="15"/>
  <c r="G83" i="15" s="1"/>
  <c r="R81" i="15" s="1"/>
  <c r="C87" i="13"/>
  <c r="G87" i="13" s="1"/>
  <c r="C87" i="15"/>
  <c r="G87" i="15" s="1"/>
  <c r="C274" i="13"/>
  <c r="G274" i="13" s="1"/>
  <c r="T491" i="13" s="1"/>
  <c r="C276" i="13"/>
  <c r="G276" i="13" s="1"/>
  <c r="T493" i="13" s="1"/>
  <c r="C393" i="13"/>
  <c r="G393" i="13" s="1"/>
  <c r="X618" i="13" s="1"/>
  <c r="G483" i="15"/>
  <c r="P767" i="15" s="1"/>
  <c r="J228" i="4"/>
  <c r="M227" i="4"/>
  <c r="N227" i="4"/>
  <c r="N216" i="4"/>
  <c r="Y216" i="4" s="1"/>
  <c r="N289" i="4"/>
  <c r="O289" i="4" s="1"/>
  <c r="X891" i="13"/>
  <c r="C491" i="13"/>
  <c r="G491" i="13" s="1"/>
  <c r="X874" i="13" s="1"/>
  <c r="C498" i="13"/>
  <c r="G498" i="13" s="1"/>
  <c r="C495" i="13"/>
  <c r="G495" i="13" s="1"/>
  <c r="X887" i="13" s="1"/>
  <c r="C488" i="13"/>
  <c r="G488" i="13" s="1"/>
  <c r="P868" i="13" s="1"/>
  <c r="X768" i="13"/>
  <c r="M303" i="4"/>
  <c r="ED2" i="5" s="1"/>
  <c r="N303" i="4"/>
  <c r="P302" i="4"/>
  <c r="O302" i="4"/>
  <c r="Y302" i="4"/>
  <c r="P295" i="4"/>
  <c r="O295" i="4"/>
  <c r="Y295" i="4"/>
  <c r="L290" i="4"/>
  <c r="N290" i="4" s="1"/>
  <c r="P290" i="4" s="1"/>
  <c r="N212" i="4"/>
  <c r="P212" i="4" s="1"/>
  <c r="O219" i="4"/>
  <c r="P219" i="4"/>
  <c r="Y219" i="4"/>
  <c r="L257" i="4"/>
  <c r="N257" i="4" s="1"/>
  <c r="O189" i="4"/>
  <c r="G409" i="13"/>
  <c r="X684" i="13" s="1"/>
  <c r="O188" i="4"/>
  <c r="P188" i="4"/>
  <c r="P190" i="4"/>
  <c r="B419" i="13"/>
  <c r="B421" i="13" s="1"/>
  <c r="O190" i="4"/>
  <c r="P187" i="4"/>
  <c r="Y187" i="4"/>
  <c r="C265" i="15" s="1"/>
  <c r="G265" i="15" s="1"/>
  <c r="T379" i="15" s="1"/>
  <c r="Y189" i="4"/>
  <c r="C267" i="15" s="1"/>
  <c r="G267" i="15" s="1"/>
  <c r="T381" i="15" s="1"/>
  <c r="N199" i="4"/>
  <c r="P199" i="4" s="1"/>
  <c r="N201" i="4"/>
  <c r="P201" i="4" s="1"/>
  <c r="N200" i="4"/>
  <c r="P93" i="4"/>
  <c r="N100" i="4"/>
  <c r="P100" i="4" s="1"/>
  <c r="Y202" i="4"/>
  <c r="C280" i="15" s="1"/>
  <c r="G280" i="15" s="1"/>
  <c r="X382" i="15" s="1"/>
  <c r="O202" i="4"/>
  <c r="P202" i="4"/>
  <c r="L198" i="4"/>
  <c r="M198" i="4" s="1"/>
  <c r="BW2" i="5" s="1"/>
  <c r="L197" i="4"/>
  <c r="M197" i="4" s="1"/>
  <c r="BV2" i="5" s="1"/>
  <c r="T206" i="4"/>
  <c r="W206" i="4" s="1"/>
  <c r="J206" i="4"/>
  <c r="O68" i="4"/>
  <c r="P68" i="4"/>
  <c r="H172" i="4"/>
  <c r="B317" i="15" s="1"/>
  <c r="F164" i="4"/>
  <c r="I164" i="4" s="1"/>
  <c r="L164" i="4" s="1"/>
  <c r="F163" i="4"/>
  <c r="I163" i="4" s="1"/>
  <c r="L163" i="4" s="1"/>
  <c r="I162" i="4"/>
  <c r="L162" i="4" s="1"/>
  <c r="F161" i="4"/>
  <c r="I161" i="4" s="1"/>
  <c r="L161" i="4" s="1"/>
  <c r="F170" i="4"/>
  <c r="I170" i="4" s="1"/>
  <c r="L170" i="4" s="1"/>
  <c r="F166" i="4"/>
  <c r="F171" i="4"/>
  <c r="I171" i="4" s="1"/>
  <c r="L171" i="4" s="1"/>
  <c r="F167" i="4"/>
  <c r="I167" i="4" s="1"/>
  <c r="L167" i="4" s="1"/>
  <c r="F169" i="4"/>
  <c r="I169" i="4" s="1"/>
  <c r="L169" i="4" s="1"/>
  <c r="M169" i="4" s="1"/>
  <c r="H168" i="4"/>
  <c r="B313" i="15" s="1"/>
  <c r="U426" i="15" s="1"/>
  <c r="F159" i="4"/>
  <c r="F158" i="4"/>
  <c r="F157" i="4"/>
  <c r="Y93" i="4"/>
  <c r="L125" i="4"/>
  <c r="N125" i="4" s="1"/>
  <c r="Y71" i="4"/>
  <c r="P71" i="4"/>
  <c r="P105" i="4"/>
  <c r="L126" i="4"/>
  <c r="N126" i="4" s="1"/>
  <c r="L151" i="4"/>
  <c r="M151" i="4" s="1"/>
  <c r="L142" i="4"/>
  <c r="M142" i="4" s="1"/>
  <c r="L152" i="4"/>
  <c r="M152" i="4" s="1"/>
  <c r="L149" i="4"/>
  <c r="M149" i="4" s="1"/>
  <c r="L143" i="4"/>
  <c r="M143" i="4" s="1"/>
  <c r="L153" i="4"/>
  <c r="M153" i="4" s="1"/>
  <c r="L147" i="4"/>
  <c r="N147" i="4" s="1"/>
  <c r="L144" i="4"/>
  <c r="M144" i="4" s="1"/>
  <c r="O75" i="4"/>
  <c r="O73" i="4"/>
  <c r="Y95" i="4"/>
  <c r="M78" i="4"/>
  <c r="Y2" i="5" s="1"/>
  <c r="P73" i="4"/>
  <c r="P95" i="4"/>
  <c r="L146" i="4"/>
  <c r="N146" i="4" s="1"/>
  <c r="L150" i="4"/>
  <c r="M150" i="4" s="1"/>
  <c r="P72" i="4"/>
  <c r="L154" i="4"/>
  <c r="M154" i="4" s="1"/>
  <c r="L145" i="4"/>
  <c r="M145" i="4" s="1"/>
  <c r="L122" i="4"/>
  <c r="N122" i="4" s="1"/>
  <c r="L124" i="4"/>
  <c r="N124" i="4" s="1"/>
  <c r="Y106" i="4"/>
  <c r="L131" i="4"/>
  <c r="N131" i="4" s="1"/>
  <c r="P106" i="4"/>
  <c r="P80" i="4"/>
  <c r="N81" i="4"/>
  <c r="P81" i="4" s="1"/>
  <c r="P75" i="4"/>
  <c r="Y94" i="4"/>
  <c r="Y74" i="4"/>
  <c r="Y105" i="4"/>
  <c r="O80" i="4"/>
  <c r="P103" i="4"/>
  <c r="O78" i="4"/>
  <c r="Y78" i="4"/>
  <c r="O94" i="4"/>
  <c r="P97" i="4"/>
  <c r="O97" i="4"/>
  <c r="Y97" i="4"/>
  <c r="O46" i="4"/>
  <c r="N70" i="4"/>
  <c r="Y70" i="4" s="1"/>
  <c r="Y103" i="4"/>
  <c r="P104" i="4"/>
  <c r="Y39" i="4"/>
  <c r="Y104" i="4"/>
  <c r="N76" i="4"/>
  <c r="P76" i="4" s="1"/>
  <c r="N79" i="4"/>
  <c r="P79" i="4" s="1"/>
  <c r="N77" i="4"/>
  <c r="O77" i="4" s="1"/>
  <c r="Y51" i="4"/>
  <c r="P63" i="4"/>
  <c r="P59" i="4"/>
  <c r="Y53" i="4"/>
  <c r="P45" i="4"/>
  <c r="P78" i="4"/>
  <c r="O39" i="4"/>
  <c r="Y64" i="4"/>
  <c r="O48" i="4"/>
  <c r="Y54" i="4"/>
  <c r="Y48" i="4"/>
  <c r="P64" i="4"/>
  <c r="P54" i="4"/>
  <c r="P49" i="4"/>
  <c r="Y60" i="4"/>
  <c r="P53" i="4"/>
  <c r="Y63" i="4"/>
  <c r="P51" i="4"/>
  <c r="O59" i="4"/>
  <c r="O60" i="4"/>
  <c r="N65" i="4"/>
  <c r="Y65" i="4" s="1"/>
  <c r="Y46" i="4"/>
  <c r="O47" i="4"/>
  <c r="Y49" i="4"/>
  <c r="P47" i="4"/>
  <c r="O74" i="4"/>
  <c r="Y52" i="4"/>
  <c r="O45" i="4"/>
  <c r="P52" i="4"/>
  <c r="Y58" i="4"/>
  <c r="O58" i="4"/>
  <c r="M133" i="4"/>
  <c r="N133" i="4"/>
  <c r="M121" i="4"/>
  <c r="N121" i="4"/>
  <c r="M118" i="4"/>
  <c r="AK2" i="5" s="1"/>
  <c r="N118" i="4"/>
  <c r="M115" i="4"/>
  <c r="AH2" i="5" s="1"/>
  <c r="N115" i="4"/>
  <c r="M112" i="4"/>
  <c r="AE2" i="5" s="1"/>
  <c r="N112" i="4"/>
  <c r="M107" i="4"/>
  <c r="AC2" i="5" s="1"/>
  <c r="N107" i="4"/>
  <c r="M184" i="4"/>
  <c r="BI2" i="5" s="1"/>
  <c r="N184" i="4"/>
  <c r="M181" i="4"/>
  <c r="BF2" i="5" s="1"/>
  <c r="N181" i="4"/>
  <c r="M148" i="4"/>
  <c r="EK2" i="5" s="1"/>
  <c r="N148" i="4"/>
  <c r="M139" i="4"/>
  <c r="N139" i="4"/>
  <c r="M136" i="4"/>
  <c r="N136" i="4"/>
  <c r="M128" i="4"/>
  <c r="AR2" i="5" s="1"/>
  <c r="N128" i="4"/>
  <c r="M119" i="4"/>
  <c r="AL2" i="5" s="1"/>
  <c r="N119" i="4"/>
  <c r="M116" i="4"/>
  <c r="AI2" i="5" s="1"/>
  <c r="N116" i="4"/>
  <c r="M113" i="4"/>
  <c r="AF2" i="5" s="1"/>
  <c r="N113" i="4"/>
  <c r="M110" i="4"/>
  <c r="AD2" i="5" s="1"/>
  <c r="N110" i="4"/>
  <c r="M186" i="4"/>
  <c r="BK2" i="5" s="1"/>
  <c r="N186" i="4"/>
  <c r="M130" i="4"/>
  <c r="AT2" i="5" s="1"/>
  <c r="N130" i="4"/>
  <c r="M127" i="4"/>
  <c r="AQ2" i="5" s="1"/>
  <c r="N127" i="4"/>
  <c r="M140" i="4"/>
  <c r="N140" i="4"/>
  <c r="M137" i="4"/>
  <c r="N137" i="4"/>
  <c r="M132" i="4"/>
  <c r="N132" i="4"/>
  <c r="M129" i="4"/>
  <c r="AS2" i="5" s="1"/>
  <c r="N129" i="4"/>
  <c r="M123" i="4"/>
  <c r="AM2" i="5" s="1"/>
  <c r="N123" i="4"/>
  <c r="M120" i="4"/>
  <c r="N120" i="4"/>
  <c r="M117" i="4"/>
  <c r="AJ2" i="5" s="1"/>
  <c r="N117" i="4"/>
  <c r="M114" i="4"/>
  <c r="AG2" i="5" s="1"/>
  <c r="N114" i="4"/>
  <c r="M111" i="4"/>
  <c r="N111" i="4"/>
  <c r="M185" i="4"/>
  <c r="BJ2" i="5" s="1"/>
  <c r="N185" i="4"/>
  <c r="M182" i="4"/>
  <c r="BG2" i="5" s="1"/>
  <c r="N182" i="4"/>
  <c r="M141" i="4"/>
  <c r="EJ2" i="5" s="1"/>
  <c r="N141" i="4"/>
  <c r="M138" i="4"/>
  <c r="N138" i="4"/>
  <c r="M183" i="4"/>
  <c r="BH2" i="5" s="1"/>
  <c r="N183" i="4"/>
  <c r="Y50" i="4"/>
  <c r="P50" i="4"/>
  <c r="N62" i="4"/>
  <c r="M62" i="4"/>
  <c r="N61" i="4"/>
  <c r="M61" i="4"/>
  <c r="B72" i="13"/>
  <c r="O15" i="13" s="1"/>
  <c r="M56" i="4"/>
  <c r="L2" i="5" s="1"/>
  <c r="C82" i="13"/>
  <c r="G82" i="13" s="1"/>
  <c r="I57" i="4"/>
  <c r="L57" i="4" s="1"/>
  <c r="C84" i="13"/>
  <c r="G84" i="13" s="1"/>
  <c r="F40" i="4"/>
  <c r="N40" i="4" s="1"/>
  <c r="F41" i="4"/>
  <c r="N41" i="4" s="1"/>
  <c r="F57" i="4"/>
  <c r="F56" i="4"/>
  <c r="N56" i="4" s="1"/>
  <c r="M55" i="4"/>
  <c r="K2" i="5" s="1"/>
  <c r="N55" i="4"/>
  <c r="B471" i="13"/>
  <c r="B470" i="13"/>
  <c r="H308" i="4" l="1"/>
  <c r="B561" i="15"/>
  <c r="W841" i="15" s="1"/>
  <c r="B458" i="15"/>
  <c r="B442" i="15"/>
  <c r="B425" i="15"/>
  <c r="B390" i="13"/>
  <c r="B551" i="13"/>
  <c r="W953" i="13"/>
  <c r="I605" i="15"/>
  <c r="B565" i="13"/>
  <c r="B464" i="13"/>
  <c r="B482" i="13"/>
  <c r="B447" i="13"/>
  <c r="B569" i="13"/>
  <c r="W934" i="13" s="1"/>
  <c r="B565" i="15"/>
  <c r="W824" i="15" s="1"/>
  <c r="M320" i="4"/>
  <c r="H336" i="4"/>
  <c r="T334" i="4"/>
  <c r="W334" i="4" s="1"/>
  <c r="L334" i="4" s="1"/>
  <c r="J334" i="4"/>
  <c r="M334" i="4" s="1"/>
  <c r="O335" i="4"/>
  <c r="Y335" i="4"/>
  <c r="P335" i="4"/>
  <c r="I552" i="13"/>
  <c r="I705" i="13"/>
  <c r="T331" i="4"/>
  <c r="J331" i="4"/>
  <c r="M328" i="4"/>
  <c r="N328" i="4"/>
  <c r="T326" i="4"/>
  <c r="J326" i="4"/>
  <c r="T322" i="4"/>
  <c r="J322" i="4"/>
  <c r="H323" i="4"/>
  <c r="T321" i="4"/>
  <c r="J321" i="4"/>
  <c r="P320" i="4"/>
  <c r="O320" i="4"/>
  <c r="Y320" i="4"/>
  <c r="T318" i="4"/>
  <c r="T317" i="4"/>
  <c r="J317" i="4"/>
  <c r="H315" i="4"/>
  <c r="B406" i="15" s="1"/>
  <c r="J316" i="4"/>
  <c r="T316" i="4"/>
  <c r="J314" i="4"/>
  <c r="T314" i="4"/>
  <c r="T313" i="4"/>
  <c r="J313" i="4"/>
  <c r="Y310" i="4"/>
  <c r="O310" i="4"/>
  <c r="M309" i="4"/>
  <c r="N309" i="4"/>
  <c r="N312" i="4"/>
  <c r="Y312" i="4" s="1"/>
  <c r="Z307" i="4"/>
  <c r="D565" i="15" s="1"/>
  <c r="L307" i="4"/>
  <c r="B230" i="15"/>
  <c r="B231" i="15" s="1"/>
  <c r="N22" i="15" s="1"/>
  <c r="X259" i="15"/>
  <c r="I299" i="13"/>
  <c r="X298" i="13"/>
  <c r="B237" i="13"/>
  <c r="B238" i="13" s="1"/>
  <c r="N22" i="13" s="1"/>
  <c r="P134" i="4"/>
  <c r="O134" i="4"/>
  <c r="Y134" i="4"/>
  <c r="O135" i="4"/>
  <c r="Y135" i="4"/>
  <c r="P135" i="4"/>
  <c r="O98" i="4"/>
  <c r="Y98" i="4"/>
  <c r="C159" i="13" s="1"/>
  <c r="G159" i="13" s="1"/>
  <c r="X191" i="13" s="1"/>
  <c r="P98" i="4"/>
  <c r="O99" i="4"/>
  <c r="Y99" i="4"/>
  <c r="C160" i="13" s="1"/>
  <c r="G160" i="13" s="1"/>
  <c r="X193" i="13" s="1"/>
  <c r="P99" i="4"/>
  <c r="M86" i="4"/>
  <c r="N86" i="4"/>
  <c r="O86" i="4" s="1"/>
  <c r="O84" i="4"/>
  <c r="Y84" i="4"/>
  <c r="P84" i="4"/>
  <c r="O85" i="4"/>
  <c r="Y85" i="4"/>
  <c r="P85" i="4"/>
  <c r="P83" i="4"/>
  <c r="O83" i="4"/>
  <c r="Y83" i="4"/>
  <c r="Y82" i="4"/>
  <c r="P82" i="4"/>
  <c r="O82" i="4"/>
  <c r="Y301" i="4"/>
  <c r="P301" i="4"/>
  <c r="Y296" i="4"/>
  <c r="O296" i="4"/>
  <c r="N298" i="4"/>
  <c r="O298" i="4" s="1"/>
  <c r="N90" i="4"/>
  <c r="P90" i="4" s="1"/>
  <c r="N89" i="4"/>
  <c r="P89" i="4" s="1"/>
  <c r="N91" i="4"/>
  <c r="O91" i="4" s="1"/>
  <c r="N92" i="4"/>
  <c r="Y92" i="4" s="1"/>
  <c r="C153" i="13" s="1"/>
  <c r="G153" i="13" s="1"/>
  <c r="X175" i="13" s="1"/>
  <c r="P88" i="4"/>
  <c r="O88" i="4"/>
  <c r="Y88" i="4"/>
  <c r="C149" i="13" s="1"/>
  <c r="G149" i="13" s="1"/>
  <c r="X163" i="13" s="1"/>
  <c r="P87" i="4"/>
  <c r="O87" i="4"/>
  <c r="Y87" i="4"/>
  <c r="C148" i="13" s="1"/>
  <c r="G148" i="13" s="1"/>
  <c r="X161" i="13" s="1"/>
  <c r="O108" i="4"/>
  <c r="Y108" i="4"/>
  <c r="P108" i="4"/>
  <c r="P109" i="4"/>
  <c r="O109" i="4"/>
  <c r="Y109" i="4"/>
  <c r="Y306" i="4"/>
  <c r="P306" i="4"/>
  <c r="D291" i="13"/>
  <c r="N497" i="13" s="1"/>
  <c r="G468" i="13"/>
  <c r="X928" i="13" s="1"/>
  <c r="L205" i="4"/>
  <c r="M205" i="4" s="1"/>
  <c r="O69" i="4"/>
  <c r="Y69" i="4"/>
  <c r="N102" i="4"/>
  <c r="Y102" i="4" s="1"/>
  <c r="C152" i="15" s="1"/>
  <c r="G152" i="15" s="1"/>
  <c r="X154" i="15" s="1"/>
  <c r="O101" i="4"/>
  <c r="Y101" i="4"/>
  <c r="C151" i="15" s="1"/>
  <c r="G151" i="15" s="1"/>
  <c r="P101" i="4"/>
  <c r="C26" i="13"/>
  <c r="G26" i="13" s="1"/>
  <c r="X36" i="13" s="1"/>
  <c r="C26" i="15"/>
  <c r="L258" i="4"/>
  <c r="M258" i="4" s="1"/>
  <c r="DJ2" i="5" s="1"/>
  <c r="Z160" i="4"/>
  <c r="D315" i="13" s="1"/>
  <c r="I523" i="13" s="1"/>
  <c r="Z155" i="4"/>
  <c r="D310" i="13" s="1"/>
  <c r="I514" i="13" s="1"/>
  <c r="N152" i="4"/>
  <c r="P152" i="4" s="1"/>
  <c r="Z165" i="4"/>
  <c r="D320" i="13" s="1"/>
  <c r="I532" i="13" s="1"/>
  <c r="L256" i="4"/>
  <c r="M256" i="4" s="1"/>
  <c r="DH2" i="5" s="1"/>
  <c r="N153" i="4"/>
  <c r="P153" i="4" s="1"/>
  <c r="N151" i="4"/>
  <c r="Y151" i="4" s="1"/>
  <c r="N150" i="4"/>
  <c r="Y150" i="4" s="1"/>
  <c r="N149" i="4"/>
  <c r="Y149" i="4" s="1"/>
  <c r="L180" i="4"/>
  <c r="M180" i="4" s="1"/>
  <c r="L254" i="4"/>
  <c r="M254" i="4" s="1"/>
  <c r="DG2" i="5" s="1"/>
  <c r="Z287" i="4"/>
  <c r="D505" i="15" s="1"/>
  <c r="U810" i="15" s="1"/>
  <c r="L287" i="4"/>
  <c r="T288" i="4"/>
  <c r="W288" i="4" s="1"/>
  <c r="J288" i="4"/>
  <c r="D434" i="13"/>
  <c r="D412" i="15"/>
  <c r="Z253" i="4"/>
  <c r="L253" i="4"/>
  <c r="Z252" i="4"/>
  <c r="D432" i="13" s="1"/>
  <c r="M252" i="4"/>
  <c r="DE2" i="5" s="1"/>
  <c r="N252" i="4"/>
  <c r="N177" i="4"/>
  <c r="P177" i="4" s="1"/>
  <c r="L251" i="4"/>
  <c r="Z251" i="4"/>
  <c r="M174" i="4"/>
  <c r="AZ2" i="5" s="1"/>
  <c r="L250" i="4"/>
  <c r="N250" i="4" s="1"/>
  <c r="N198" i="4"/>
  <c r="O198" i="4" s="1"/>
  <c r="D408" i="15"/>
  <c r="D430" i="13"/>
  <c r="N175" i="4"/>
  <c r="P175" i="4" s="1"/>
  <c r="N178" i="4"/>
  <c r="Y178" i="4" s="1"/>
  <c r="C323" i="15" s="1"/>
  <c r="G323" i="15" s="1"/>
  <c r="X438" i="15" s="1"/>
  <c r="L155" i="4"/>
  <c r="L283" i="4"/>
  <c r="M283" i="4" s="1"/>
  <c r="DR2" i="5" s="1"/>
  <c r="L285" i="4"/>
  <c r="M285" i="4" s="1"/>
  <c r="DT2" i="5" s="1"/>
  <c r="L165" i="4"/>
  <c r="D501" i="15"/>
  <c r="S796" i="15" s="1"/>
  <c r="D506" i="13"/>
  <c r="S913" i="13" s="1"/>
  <c r="D499" i="15"/>
  <c r="L282" i="4"/>
  <c r="M282" i="4" s="1"/>
  <c r="DQ2" i="5" s="1"/>
  <c r="N281" i="4"/>
  <c r="O281" i="4" s="1"/>
  <c r="L160" i="4"/>
  <c r="Z261" i="4"/>
  <c r="D479" i="15" s="1"/>
  <c r="I762" i="15" s="1"/>
  <c r="Z271" i="4"/>
  <c r="L271" i="4"/>
  <c r="M271" i="4" s="1"/>
  <c r="DN2" i="5" s="1"/>
  <c r="N261" i="4"/>
  <c r="Y261" i="4" s="1"/>
  <c r="C479" i="15" s="1"/>
  <c r="Z240" i="4"/>
  <c r="L240" i="4"/>
  <c r="M173" i="4"/>
  <c r="AY2" i="5" s="1"/>
  <c r="N204" i="4"/>
  <c r="Y204" i="4" s="1"/>
  <c r="N203" i="4"/>
  <c r="P203" i="4" s="1"/>
  <c r="P192" i="4"/>
  <c r="O192" i="4"/>
  <c r="Y192" i="4"/>
  <c r="P191" i="4"/>
  <c r="O191" i="4"/>
  <c r="Y191" i="4"/>
  <c r="M176" i="4"/>
  <c r="BB2" i="5" s="1"/>
  <c r="O14" i="15"/>
  <c r="X39" i="13"/>
  <c r="B398" i="15"/>
  <c r="C86" i="13"/>
  <c r="G86" i="13" s="1"/>
  <c r="C86" i="15"/>
  <c r="G86" i="15" s="1"/>
  <c r="C154" i="13"/>
  <c r="G154" i="13" s="1"/>
  <c r="X182" i="13" s="1"/>
  <c r="C149" i="15"/>
  <c r="G149" i="15" s="1"/>
  <c r="C528" i="13"/>
  <c r="G528" i="13" s="1"/>
  <c r="X752" i="13" s="1"/>
  <c r="C524" i="15"/>
  <c r="G524" i="15" s="1"/>
  <c r="X652" i="15" s="1"/>
  <c r="C94" i="13"/>
  <c r="G94" i="13" s="1"/>
  <c r="C94" i="15"/>
  <c r="G94" i="15" s="1"/>
  <c r="C158" i="13"/>
  <c r="G158" i="13" s="1"/>
  <c r="C139" i="13"/>
  <c r="G139" i="13" s="1"/>
  <c r="X127" i="13" s="1"/>
  <c r="C155" i="13"/>
  <c r="G155" i="13" s="1"/>
  <c r="X183" i="13" s="1"/>
  <c r="C150" i="15"/>
  <c r="G150" i="15" s="1"/>
  <c r="X151" i="15" s="1"/>
  <c r="C109" i="13"/>
  <c r="G109" i="13" s="1"/>
  <c r="X95" i="13" s="1"/>
  <c r="C109" i="15"/>
  <c r="C111" i="13"/>
  <c r="G111" i="13" s="1"/>
  <c r="X99" i="13" s="1"/>
  <c r="C111" i="15"/>
  <c r="G111" i="15" s="1"/>
  <c r="X101" i="15" s="1"/>
  <c r="C88" i="13"/>
  <c r="G88" i="13" s="1"/>
  <c r="C88" i="15"/>
  <c r="G88" i="15" s="1"/>
  <c r="C126" i="13"/>
  <c r="G126" i="13" s="1"/>
  <c r="X204" i="13" s="1"/>
  <c r="C126" i="15"/>
  <c r="C93" i="13"/>
  <c r="G93" i="13" s="1"/>
  <c r="C93" i="15"/>
  <c r="G93" i="15" s="1"/>
  <c r="C79" i="13"/>
  <c r="G79" i="13" s="1"/>
  <c r="C79" i="15"/>
  <c r="C135" i="13"/>
  <c r="G135" i="13" s="1"/>
  <c r="X122" i="13" s="1"/>
  <c r="C136" i="15"/>
  <c r="G136" i="15" s="1"/>
  <c r="X124" i="15" s="1"/>
  <c r="C275" i="13"/>
  <c r="G275" i="13" s="1"/>
  <c r="T492" i="13" s="1"/>
  <c r="C534" i="13"/>
  <c r="G534" i="13" s="1"/>
  <c r="C530" i="15"/>
  <c r="G530" i="15" s="1"/>
  <c r="X54" i="15"/>
  <c r="O15" i="15"/>
  <c r="C92" i="13"/>
  <c r="G92" i="13" s="1"/>
  <c r="C92" i="15"/>
  <c r="G92" i="15" s="1"/>
  <c r="C89" i="13"/>
  <c r="G89" i="13" s="1"/>
  <c r="C89" i="15"/>
  <c r="G89" i="15" s="1"/>
  <c r="C91" i="13"/>
  <c r="G91" i="13" s="1"/>
  <c r="C91" i="15"/>
  <c r="G91" i="15" s="1"/>
  <c r="C163" i="13"/>
  <c r="G163" i="13" s="1"/>
  <c r="C157" i="15"/>
  <c r="G157" i="15" s="1"/>
  <c r="C131" i="13"/>
  <c r="G131" i="13" s="1"/>
  <c r="X114" i="13" s="1"/>
  <c r="C132" i="15"/>
  <c r="G132" i="15" s="1"/>
  <c r="X117" i="15" s="1"/>
  <c r="C175" i="13"/>
  <c r="G175" i="13" s="1"/>
  <c r="X245" i="13" s="1"/>
  <c r="C169" i="15"/>
  <c r="C176" i="13"/>
  <c r="G176" i="13" s="1"/>
  <c r="X246" i="13" s="1"/>
  <c r="C170" i="15"/>
  <c r="G170" i="15" s="1"/>
  <c r="X212" i="15" s="1"/>
  <c r="C288" i="13"/>
  <c r="G288" i="13" s="1"/>
  <c r="X493" i="13" s="1"/>
  <c r="C358" i="13"/>
  <c r="G358" i="13" s="1"/>
  <c r="T592" i="13" s="1"/>
  <c r="C90" i="13"/>
  <c r="G90" i="13" s="1"/>
  <c r="C90" i="15"/>
  <c r="G90" i="15" s="1"/>
  <c r="C127" i="13"/>
  <c r="G127" i="13" s="1"/>
  <c r="X110" i="13" s="1"/>
  <c r="C127" i="15"/>
  <c r="G127" i="15" s="1"/>
  <c r="X112" i="15" s="1"/>
  <c r="C114" i="13"/>
  <c r="G114" i="13" s="1"/>
  <c r="X103" i="13" s="1"/>
  <c r="C114" i="15"/>
  <c r="G114" i="15" s="1"/>
  <c r="X105" i="15" s="1"/>
  <c r="C162" i="13"/>
  <c r="G162" i="13" s="1"/>
  <c r="C156" i="15"/>
  <c r="G156" i="15" s="1"/>
  <c r="X179" i="15" s="1"/>
  <c r="C156" i="13"/>
  <c r="G156" i="13" s="1"/>
  <c r="X185" i="13" s="1"/>
  <c r="C132" i="13"/>
  <c r="G132" i="13" s="1"/>
  <c r="X119" i="13" s="1"/>
  <c r="C273" i="13"/>
  <c r="G273" i="13" s="1"/>
  <c r="T490" i="13" s="1"/>
  <c r="Z228" i="4"/>
  <c r="L228" i="4"/>
  <c r="M228" i="4" s="1"/>
  <c r="P227" i="4"/>
  <c r="O227" i="4"/>
  <c r="Y227" i="4"/>
  <c r="P216" i="4"/>
  <c r="O216" i="4"/>
  <c r="Y289" i="4"/>
  <c r="P289" i="4"/>
  <c r="P303" i="4"/>
  <c r="O303" i="4"/>
  <c r="Y303" i="4"/>
  <c r="O290" i="4"/>
  <c r="Y290" i="4"/>
  <c r="M290" i="4"/>
  <c r="DW2" i="5" s="1"/>
  <c r="O212" i="4"/>
  <c r="M257" i="4"/>
  <c r="DI2" i="5" s="1"/>
  <c r="Y212" i="4"/>
  <c r="D451" i="13"/>
  <c r="I657" i="13" s="1"/>
  <c r="P257" i="4"/>
  <c r="O257" i="4"/>
  <c r="Y257" i="4"/>
  <c r="C430" i="15" s="1"/>
  <c r="G430" i="15" s="1"/>
  <c r="X547" i="15" s="1"/>
  <c r="B420" i="13"/>
  <c r="N197" i="4"/>
  <c r="O197" i="4" s="1"/>
  <c r="B323" i="13"/>
  <c r="U538" i="13" s="1"/>
  <c r="N194" i="4"/>
  <c r="P194" i="4" s="1"/>
  <c r="N196" i="4"/>
  <c r="P196" i="4" s="1"/>
  <c r="M195" i="4"/>
  <c r="BT2" i="5" s="1"/>
  <c r="N195" i="4"/>
  <c r="P195" i="4" s="1"/>
  <c r="O100" i="4"/>
  <c r="Y100" i="4"/>
  <c r="N193" i="4"/>
  <c r="O193" i="4" s="1"/>
  <c r="I179" i="4"/>
  <c r="Z179" i="4" s="1"/>
  <c r="D258" i="15" s="1"/>
  <c r="O199" i="4"/>
  <c r="Y199" i="4"/>
  <c r="C277" i="15" s="1"/>
  <c r="G277" i="15" s="1"/>
  <c r="X379" i="15" s="1"/>
  <c r="Y201" i="4"/>
  <c r="C279" i="15" s="1"/>
  <c r="G279" i="15" s="1"/>
  <c r="X381" i="15" s="1"/>
  <c r="O201" i="4"/>
  <c r="P200" i="4"/>
  <c r="Y200" i="4"/>
  <c r="C278" i="15" s="1"/>
  <c r="G278" i="15" s="1"/>
  <c r="X380" i="15" s="1"/>
  <c r="O200" i="4"/>
  <c r="I207" i="4"/>
  <c r="N156" i="4"/>
  <c r="P156" i="4" s="1"/>
  <c r="B327" i="13"/>
  <c r="I172" i="4"/>
  <c r="Z172" i="4" s="1"/>
  <c r="T172" i="4"/>
  <c r="W172" i="4" s="1"/>
  <c r="J172" i="4"/>
  <c r="M163" i="4"/>
  <c r="N163" i="4"/>
  <c r="P163" i="4" s="1"/>
  <c r="M164" i="4"/>
  <c r="N164" i="4"/>
  <c r="Y164" i="4" s="1"/>
  <c r="C309" i="15" s="1"/>
  <c r="G309" i="15" s="1"/>
  <c r="X415" i="15" s="1"/>
  <c r="M162" i="4"/>
  <c r="N162" i="4"/>
  <c r="Y162" i="4" s="1"/>
  <c r="C307" i="15" s="1"/>
  <c r="G307" i="15" s="1"/>
  <c r="R417" i="15" s="1"/>
  <c r="M161" i="4"/>
  <c r="N161" i="4"/>
  <c r="P161" i="4" s="1"/>
  <c r="I158" i="4"/>
  <c r="L158" i="4" s="1"/>
  <c r="M158" i="4" s="1"/>
  <c r="I157" i="4"/>
  <c r="L157" i="4" s="1"/>
  <c r="M157" i="4" s="1"/>
  <c r="N143" i="4"/>
  <c r="P143" i="4" s="1"/>
  <c r="M170" i="4"/>
  <c r="N170" i="4"/>
  <c r="P170" i="4" s="1"/>
  <c r="N167" i="4"/>
  <c r="P167" i="4" s="1"/>
  <c r="M167" i="4"/>
  <c r="I166" i="4"/>
  <c r="L166" i="4" s="1"/>
  <c r="M166" i="4" s="1"/>
  <c r="I159" i="4"/>
  <c r="L159" i="4" s="1"/>
  <c r="M159" i="4" s="1"/>
  <c r="M171" i="4"/>
  <c r="N171" i="4"/>
  <c r="P171" i="4" s="1"/>
  <c r="N144" i="4"/>
  <c r="Y144" i="4" s="1"/>
  <c r="T168" i="4"/>
  <c r="W168" i="4" s="1"/>
  <c r="L168" i="4" s="1"/>
  <c r="J168" i="4"/>
  <c r="N142" i="4"/>
  <c r="O142" i="4" s="1"/>
  <c r="M125" i="4"/>
  <c r="AO2" i="5" s="1"/>
  <c r="N145" i="4"/>
  <c r="O145" i="4" s="1"/>
  <c r="O176" i="4"/>
  <c r="Y176" i="4"/>
  <c r="C321" i="15" s="1"/>
  <c r="G321" i="15" s="1"/>
  <c r="X436" i="15" s="1"/>
  <c r="P176" i="4"/>
  <c r="O173" i="4"/>
  <c r="Y173" i="4"/>
  <c r="C318" i="15" s="1"/>
  <c r="G318" i="15" s="1"/>
  <c r="X433" i="15" s="1"/>
  <c r="P173" i="4"/>
  <c r="P174" i="4"/>
  <c r="O174" i="4"/>
  <c r="Y174" i="4"/>
  <c r="C319" i="15" s="1"/>
  <c r="G319" i="15" s="1"/>
  <c r="X434" i="15" s="1"/>
  <c r="M146" i="4"/>
  <c r="M147" i="4"/>
  <c r="M126" i="4"/>
  <c r="AP2" i="5" s="1"/>
  <c r="N154" i="4"/>
  <c r="Y154" i="4" s="1"/>
  <c r="M124" i="4"/>
  <c r="AN2" i="5" s="1"/>
  <c r="M131" i="4"/>
  <c r="M122" i="4"/>
  <c r="Y81" i="4"/>
  <c r="O79" i="4"/>
  <c r="O70" i="4"/>
  <c r="P70" i="4"/>
  <c r="O81" i="4"/>
  <c r="Y79" i="4"/>
  <c r="O76" i="4"/>
  <c r="Y76" i="4"/>
  <c r="P77" i="4"/>
  <c r="Y77" i="4"/>
  <c r="X111" i="13"/>
  <c r="X52" i="13"/>
  <c r="O65" i="4"/>
  <c r="P65" i="4"/>
  <c r="P138" i="4"/>
  <c r="O138" i="4"/>
  <c r="Y138" i="4"/>
  <c r="C225" i="13" s="1"/>
  <c r="G225" i="13" s="1"/>
  <c r="X334" i="13" s="1"/>
  <c r="P182" i="4"/>
  <c r="O182" i="4"/>
  <c r="Y182" i="4"/>
  <c r="C260" i="15" s="1"/>
  <c r="G260" i="15" s="1"/>
  <c r="T374" i="15" s="1"/>
  <c r="O185" i="4"/>
  <c r="Y185" i="4"/>
  <c r="C263" i="15" s="1"/>
  <c r="G263" i="15" s="1"/>
  <c r="T377" i="15" s="1"/>
  <c r="P185" i="4"/>
  <c r="P111" i="4"/>
  <c r="O111" i="4"/>
  <c r="Y111" i="4"/>
  <c r="P117" i="4"/>
  <c r="O117" i="4"/>
  <c r="Y117" i="4"/>
  <c r="P123" i="4"/>
  <c r="O123" i="4"/>
  <c r="Y123" i="4"/>
  <c r="P129" i="4"/>
  <c r="O129" i="4"/>
  <c r="Y129" i="4"/>
  <c r="P137" i="4"/>
  <c r="O137" i="4"/>
  <c r="Y137" i="4"/>
  <c r="P124" i="4"/>
  <c r="O124" i="4"/>
  <c r="Y124" i="4"/>
  <c r="C195" i="15" s="1"/>
  <c r="G195" i="15" s="1"/>
  <c r="X242" i="15" s="1"/>
  <c r="O130" i="4"/>
  <c r="Y130" i="4"/>
  <c r="P130" i="4"/>
  <c r="P186" i="4"/>
  <c r="O186" i="4"/>
  <c r="Y186" i="4"/>
  <c r="C264" i="15" s="1"/>
  <c r="G264" i="15" s="1"/>
  <c r="T378" i="15" s="1"/>
  <c r="P113" i="4"/>
  <c r="O113" i="4"/>
  <c r="Y113" i="4"/>
  <c r="P119" i="4"/>
  <c r="O119" i="4"/>
  <c r="Y119" i="4"/>
  <c r="P125" i="4"/>
  <c r="O125" i="4"/>
  <c r="Y125" i="4"/>
  <c r="C196" i="15" s="1"/>
  <c r="G196" i="15" s="1"/>
  <c r="X243" i="15" s="1"/>
  <c r="P131" i="4"/>
  <c r="O131" i="4"/>
  <c r="Y131" i="4"/>
  <c r="P139" i="4"/>
  <c r="O139" i="4"/>
  <c r="Y139" i="4"/>
  <c r="C226" i="13" s="1"/>
  <c r="G226" i="13" s="1"/>
  <c r="X346" i="13" s="1"/>
  <c r="P112" i="4"/>
  <c r="O112" i="4"/>
  <c r="Y112" i="4"/>
  <c r="O118" i="4"/>
  <c r="Y118" i="4"/>
  <c r="C178" i="15" s="1"/>
  <c r="G178" i="15" s="1"/>
  <c r="X224" i="15" s="1"/>
  <c r="P118" i="4"/>
  <c r="P133" i="4"/>
  <c r="O133" i="4"/>
  <c r="Y133" i="4"/>
  <c r="O183" i="4"/>
  <c r="Y183" i="4"/>
  <c r="C261" i="15" s="1"/>
  <c r="G261" i="15" s="1"/>
  <c r="T375" i="15" s="1"/>
  <c r="P183" i="4"/>
  <c r="P141" i="4"/>
  <c r="O141" i="4"/>
  <c r="Y141" i="4"/>
  <c r="P147" i="4"/>
  <c r="O147" i="4"/>
  <c r="Y147" i="4"/>
  <c r="O114" i="4"/>
  <c r="Y114" i="4"/>
  <c r="C174" i="15" s="1"/>
  <c r="P114" i="4"/>
  <c r="P120" i="4"/>
  <c r="O120" i="4"/>
  <c r="Y120" i="4"/>
  <c r="O126" i="4"/>
  <c r="Y126" i="4"/>
  <c r="C197" i="15" s="1"/>
  <c r="G197" i="15" s="1"/>
  <c r="X244" i="15" s="1"/>
  <c r="P126" i="4"/>
  <c r="P132" i="4"/>
  <c r="O132" i="4"/>
  <c r="Y132" i="4"/>
  <c r="O140" i="4"/>
  <c r="Y140" i="4"/>
  <c r="P140" i="4"/>
  <c r="P146" i="4"/>
  <c r="O146" i="4"/>
  <c r="Y146" i="4"/>
  <c r="C245" i="13" s="1"/>
  <c r="G245" i="13" s="1"/>
  <c r="X403" i="13" s="1"/>
  <c r="P127" i="4"/>
  <c r="O127" i="4"/>
  <c r="Y127" i="4"/>
  <c r="C198" i="15" s="1"/>
  <c r="G198" i="15" s="1"/>
  <c r="X246" i="15" s="1"/>
  <c r="O110" i="4"/>
  <c r="Y110" i="4"/>
  <c r="P110" i="4"/>
  <c r="P116" i="4"/>
  <c r="O116" i="4"/>
  <c r="Y116" i="4"/>
  <c r="O122" i="4"/>
  <c r="Y122" i="4"/>
  <c r="P122" i="4"/>
  <c r="P128" i="4"/>
  <c r="O128" i="4"/>
  <c r="Y128" i="4"/>
  <c r="C199" i="15" s="1"/>
  <c r="G199" i="15" s="1"/>
  <c r="X248" i="15" s="1"/>
  <c r="O136" i="4"/>
  <c r="Y136" i="4"/>
  <c r="P136" i="4"/>
  <c r="O148" i="4"/>
  <c r="Y148" i="4"/>
  <c r="P148" i="4"/>
  <c r="O181" i="4"/>
  <c r="Y181" i="4"/>
  <c r="C259" i="15" s="1"/>
  <c r="G259" i="15" s="1"/>
  <c r="T373" i="15" s="1"/>
  <c r="P181" i="4"/>
  <c r="P184" i="4"/>
  <c r="O184" i="4"/>
  <c r="Y184" i="4"/>
  <c r="C262" i="15" s="1"/>
  <c r="G262" i="15" s="1"/>
  <c r="T376" i="15" s="1"/>
  <c r="P107" i="4"/>
  <c r="O107" i="4"/>
  <c r="Y107" i="4"/>
  <c r="P115" i="4"/>
  <c r="O115" i="4"/>
  <c r="Y115" i="4"/>
  <c r="P121" i="4"/>
  <c r="O121" i="4"/>
  <c r="Y121" i="4"/>
  <c r="Y62" i="4"/>
  <c r="O62" i="4"/>
  <c r="P62" i="4"/>
  <c r="O61" i="4"/>
  <c r="P61" i="4"/>
  <c r="Y61" i="4"/>
  <c r="P40" i="4"/>
  <c r="Y40" i="4"/>
  <c r="C80" i="15" s="1"/>
  <c r="G80" i="15" s="1"/>
  <c r="T75" i="15" s="1"/>
  <c r="O40" i="4"/>
  <c r="X79" i="13"/>
  <c r="L79" i="13"/>
  <c r="P56" i="4"/>
  <c r="Y56" i="4"/>
  <c r="O56" i="4"/>
  <c r="O41" i="4"/>
  <c r="P41" i="4"/>
  <c r="Y41" i="4"/>
  <c r="N57" i="4"/>
  <c r="M57" i="4"/>
  <c r="M2" i="5" s="1"/>
  <c r="O55" i="4"/>
  <c r="P55" i="4"/>
  <c r="Y55" i="4"/>
  <c r="B28" i="13"/>
  <c r="B30" i="13"/>
  <c r="B29" i="15"/>
  <c r="B28" i="15"/>
  <c r="B30" i="15"/>
  <c r="B29" i="13"/>
  <c r="B427" i="15" l="1"/>
  <c r="W840" i="15"/>
  <c r="B444" i="15"/>
  <c r="W842" i="15"/>
  <c r="B460" i="15"/>
  <c r="W838" i="15"/>
  <c r="B563" i="15"/>
  <c r="B517" i="15"/>
  <c r="B547" i="15"/>
  <c r="I481" i="15"/>
  <c r="B428" i="13"/>
  <c r="B382" i="15"/>
  <c r="B336" i="15"/>
  <c r="W836" i="15" s="1"/>
  <c r="B365" i="15"/>
  <c r="B466" i="13"/>
  <c r="W951" i="13"/>
  <c r="B567" i="13"/>
  <c r="W950" i="13"/>
  <c r="B449" i="13"/>
  <c r="B521" i="13"/>
  <c r="B405" i="13"/>
  <c r="B346" i="13"/>
  <c r="I518" i="15"/>
  <c r="I533" i="15"/>
  <c r="I541" i="15"/>
  <c r="I628" i="13"/>
  <c r="I642" i="13"/>
  <c r="I650" i="13"/>
  <c r="H325" i="4"/>
  <c r="B579" i="15" s="1"/>
  <c r="B567" i="15"/>
  <c r="U828" i="15" s="1"/>
  <c r="C570" i="13"/>
  <c r="G570" i="13" s="1"/>
  <c r="X936" i="13" s="1"/>
  <c r="C566" i="15"/>
  <c r="G566" i="15" s="1"/>
  <c r="X826" i="15" s="1"/>
  <c r="T336" i="4"/>
  <c r="W336" i="4" s="1"/>
  <c r="L336" i="4" s="1"/>
  <c r="J336" i="4"/>
  <c r="B571" i="13"/>
  <c r="U938" i="13" s="1"/>
  <c r="N334" i="4"/>
  <c r="O334" i="4" s="1"/>
  <c r="J315" i="4"/>
  <c r="M315" i="4" s="1"/>
  <c r="T308" i="4"/>
  <c r="M331" i="4"/>
  <c r="N331" i="4"/>
  <c r="T329" i="4"/>
  <c r="Y328" i="4"/>
  <c r="O328" i="4"/>
  <c r="P328" i="4"/>
  <c r="T327" i="4"/>
  <c r="J327" i="4"/>
  <c r="M326" i="4"/>
  <c r="N326" i="4"/>
  <c r="M322" i="4"/>
  <c r="N322" i="4"/>
  <c r="M321" i="4"/>
  <c r="N321" i="4"/>
  <c r="T323" i="4"/>
  <c r="J323" i="4"/>
  <c r="J318" i="4"/>
  <c r="M318" i="4" s="1"/>
  <c r="M317" i="4"/>
  <c r="N317" i="4"/>
  <c r="T315" i="4"/>
  <c r="M316" i="4"/>
  <c r="N316" i="4"/>
  <c r="M314" i="4"/>
  <c r="N314" i="4"/>
  <c r="M313" i="4"/>
  <c r="N313" i="4"/>
  <c r="Y309" i="4"/>
  <c r="P309" i="4"/>
  <c r="O309" i="4"/>
  <c r="O312" i="4"/>
  <c r="P312" i="4"/>
  <c r="J308" i="4"/>
  <c r="N308" i="4" s="1"/>
  <c r="O308" i="4" s="1"/>
  <c r="D553" i="13"/>
  <c r="U648" i="13" s="1"/>
  <c r="D549" i="15"/>
  <c r="U539" i="15" s="1"/>
  <c r="M307" i="4"/>
  <c r="EW2" i="5" s="1"/>
  <c r="N307" i="4"/>
  <c r="C222" i="13"/>
  <c r="G222" i="13" s="1"/>
  <c r="X312" i="13" s="1"/>
  <c r="C217" i="15"/>
  <c r="G217" i="15" s="1"/>
  <c r="X271" i="15" s="1"/>
  <c r="C221" i="13"/>
  <c r="G221" i="13" s="1"/>
  <c r="X302" i="13" s="1"/>
  <c r="C216" i="15"/>
  <c r="G216" i="15" s="1"/>
  <c r="X263" i="15" s="1"/>
  <c r="X219" i="13"/>
  <c r="X189" i="13"/>
  <c r="X198" i="15"/>
  <c r="X152" i="15"/>
  <c r="X150" i="15"/>
  <c r="C146" i="13"/>
  <c r="G146" i="13" s="1"/>
  <c r="X146" i="13" s="1"/>
  <c r="C147" i="15"/>
  <c r="G147" i="15" s="1"/>
  <c r="X139" i="15" s="1"/>
  <c r="C143" i="13"/>
  <c r="G143" i="13" s="1"/>
  <c r="X140" i="13" s="1"/>
  <c r="C144" i="15"/>
  <c r="G144" i="15" s="1"/>
  <c r="X133" i="15" s="1"/>
  <c r="C145" i="13"/>
  <c r="G145" i="13" s="1"/>
  <c r="X144" i="13" s="1"/>
  <c r="C146" i="15"/>
  <c r="G146" i="15" s="1"/>
  <c r="X137" i="15" s="1"/>
  <c r="C144" i="13"/>
  <c r="G144" i="13" s="1"/>
  <c r="X142" i="13" s="1"/>
  <c r="C145" i="15"/>
  <c r="G145" i="15" s="1"/>
  <c r="X135" i="15" s="1"/>
  <c r="Y86" i="4"/>
  <c r="P86" i="4"/>
  <c r="C533" i="13"/>
  <c r="G533" i="13" s="1"/>
  <c r="X810" i="13" s="1"/>
  <c r="C529" i="15"/>
  <c r="G529" i="15" s="1"/>
  <c r="X708" i="15" s="1"/>
  <c r="C529" i="13"/>
  <c r="G529" i="13" s="1"/>
  <c r="X764" i="13" s="1"/>
  <c r="C525" i="15"/>
  <c r="G525" i="15" s="1"/>
  <c r="X663" i="15" s="1"/>
  <c r="P298" i="4"/>
  <c r="Y298" i="4"/>
  <c r="Y90" i="4"/>
  <c r="C151" i="13" s="1"/>
  <c r="G151" i="13" s="1"/>
  <c r="X168" i="13" s="1"/>
  <c r="O90" i="4"/>
  <c r="Y89" i="4"/>
  <c r="C150" i="13" s="1"/>
  <c r="G150" i="13" s="1"/>
  <c r="X166" i="13" s="1"/>
  <c r="O89" i="4"/>
  <c r="O92" i="4"/>
  <c r="P91" i="4"/>
  <c r="Y91" i="4"/>
  <c r="C152" i="13" s="1"/>
  <c r="G152" i="13" s="1"/>
  <c r="X170" i="13" s="1"/>
  <c r="P92" i="4"/>
  <c r="C179" i="13"/>
  <c r="G179" i="13" s="1"/>
  <c r="X251" i="13" s="1"/>
  <c r="C173" i="15"/>
  <c r="G173" i="15" s="1"/>
  <c r="X217" i="15" s="1"/>
  <c r="C178" i="13"/>
  <c r="G178" i="13" s="1"/>
  <c r="X250" i="13" s="1"/>
  <c r="C172" i="15"/>
  <c r="G172" i="15" s="1"/>
  <c r="X216" i="15" s="1"/>
  <c r="N180" i="4"/>
  <c r="O180" i="4" s="1"/>
  <c r="C537" i="13"/>
  <c r="G537" i="13" s="1"/>
  <c r="X834" i="13" s="1"/>
  <c r="C533" i="15"/>
  <c r="G533" i="15" s="1"/>
  <c r="X732" i="15" s="1"/>
  <c r="N205" i="4"/>
  <c r="P205" i="4" s="1"/>
  <c r="C130" i="13"/>
  <c r="G130" i="13" s="1"/>
  <c r="X112" i="13" s="1"/>
  <c r="C131" i="15"/>
  <c r="G131" i="15" s="1"/>
  <c r="X115" i="15" s="1"/>
  <c r="P102" i="4"/>
  <c r="O102" i="4"/>
  <c r="B31" i="15"/>
  <c r="B32" i="15" s="1"/>
  <c r="B31" i="13"/>
  <c r="B33" i="13" s="1"/>
  <c r="P13" i="13" s="1"/>
  <c r="G26" i="15"/>
  <c r="X37" i="15" s="1"/>
  <c r="Y152" i="4"/>
  <c r="C251" i="13" s="1"/>
  <c r="G251" i="13" s="1"/>
  <c r="X446" i="13" s="1"/>
  <c r="D305" i="15"/>
  <c r="I411" i="15" s="1"/>
  <c r="D300" i="15"/>
  <c r="I402" i="15" s="1"/>
  <c r="N258" i="4"/>
  <c r="P258" i="4" s="1"/>
  <c r="G174" i="15"/>
  <c r="O152" i="4"/>
  <c r="D310" i="15"/>
  <c r="I420" i="15" s="1"/>
  <c r="N256" i="4"/>
  <c r="P256" i="4" s="1"/>
  <c r="Y153" i="4"/>
  <c r="C252" i="13" s="1"/>
  <c r="G252" i="13" s="1"/>
  <c r="X458" i="13" s="1"/>
  <c r="O151" i="4"/>
  <c r="Y177" i="4"/>
  <c r="C322" i="15" s="1"/>
  <c r="G322" i="15" s="1"/>
  <c r="X437" i="15" s="1"/>
  <c r="P151" i="4"/>
  <c r="O177" i="4"/>
  <c r="O153" i="4"/>
  <c r="C177" i="15"/>
  <c r="G177" i="15" s="1"/>
  <c r="X223" i="15" s="1"/>
  <c r="P150" i="4"/>
  <c r="O150" i="4"/>
  <c r="O149" i="4"/>
  <c r="P149" i="4"/>
  <c r="C282" i="15"/>
  <c r="G282" i="15" s="1"/>
  <c r="X384" i="15" s="1"/>
  <c r="C290" i="13"/>
  <c r="G290" i="13" s="1"/>
  <c r="X495" i="13" s="1"/>
  <c r="C270" i="15"/>
  <c r="G270" i="15" s="1"/>
  <c r="T384" i="15" s="1"/>
  <c r="C278" i="13"/>
  <c r="G278" i="13" s="1"/>
  <c r="T495" i="13" s="1"/>
  <c r="C269" i="15"/>
  <c r="G269" i="15" s="1"/>
  <c r="T383" i="15" s="1"/>
  <c r="C277" i="13"/>
  <c r="G277" i="13" s="1"/>
  <c r="T494" i="13" s="1"/>
  <c r="Y198" i="4"/>
  <c r="C276" i="15" s="1"/>
  <c r="G276" i="15" s="1"/>
  <c r="X378" i="15" s="1"/>
  <c r="N283" i="4"/>
  <c r="D410" i="15"/>
  <c r="N254" i="4"/>
  <c r="P254" i="4" s="1"/>
  <c r="N287" i="4"/>
  <c r="M287" i="4"/>
  <c r="DV2" i="5" s="1"/>
  <c r="I288" i="4"/>
  <c r="L288" i="4" s="1"/>
  <c r="M288" i="4" s="1"/>
  <c r="P198" i="4"/>
  <c r="D411" i="15"/>
  <c r="D433" i="13"/>
  <c r="N253" i="4"/>
  <c r="M253" i="4"/>
  <c r="DF2" i="5" s="1"/>
  <c r="P252" i="4"/>
  <c r="O252" i="4"/>
  <c r="Y252" i="4"/>
  <c r="M250" i="4"/>
  <c r="DC2" i="5" s="1"/>
  <c r="O175" i="4"/>
  <c r="D409" i="15"/>
  <c r="D431" i="13"/>
  <c r="Y175" i="4"/>
  <c r="C320" i="15" s="1"/>
  <c r="G320" i="15" s="1"/>
  <c r="X435" i="15" s="1"/>
  <c r="M251" i="4"/>
  <c r="DD2" i="5" s="1"/>
  <c r="N251" i="4"/>
  <c r="Y250" i="4"/>
  <c r="P250" i="4"/>
  <c r="O250" i="4"/>
  <c r="P178" i="4"/>
  <c r="O178" i="4"/>
  <c r="M165" i="4"/>
  <c r="AW2" i="5" s="1"/>
  <c r="N165" i="4"/>
  <c r="M160" i="4"/>
  <c r="AV2" i="5" s="1"/>
  <c r="N160" i="4"/>
  <c r="M155" i="4"/>
  <c r="AU2" i="5" s="1"/>
  <c r="N155" i="4"/>
  <c r="N285" i="4"/>
  <c r="D503" i="15"/>
  <c r="S801" i="15" s="1"/>
  <c r="D508" i="13"/>
  <c r="S918" i="13" s="1"/>
  <c r="Y281" i="4"/>
  <c r="C504" i="13" s="1"/>
  <c r="G504" i="13" s="1"/>
  <c r="P281" i="4"/>
  <c r="D484" i="13"/>
  <c r="I863" i="13" s="1"/>
  <c r="D504" i="13"/>
  <c r="D500" i="15"/>
  <c r="D505" i="13"/>
  <c r="N282" i="4"/>
  <c r="O261" i="4"/>
  <c r="P261" i="4"/>
  <c r="D489" i="15"/>
  <c r="I779" i="15" s="1"/>
  <c r="D494" i="13"/>
  <c r="I888" i="13" s="1"/>
  <c r="N271" i="4"/>
  <c r="D367" i="15"/>
  <c r="U505" i="15" s="1"/>
  <c r="D392" i="13"/>
  <c r="U613" i="13" s="1"/>
  <c r="N240" i="4"/>
  <c r="M240" i="4"/>
  <c r="CT2" i="5" s="1"/>
  <c r="P204" i="4"/>
  <c r="O204" i="4"/>
  <c r="O203" i="4"/>
  <c r="Y203" i="4"/>
  <c r="G479" i="15"/>
  <c r="P761" i="15" s="1"/>
  <c r="X550" i="15"/>
  <c r="C176" i="15"/>
  <c r="G176" i="15" s="1"/>
  <c r="X222" i="15" s="1"/>
  <c r="C175" i="15"/>
  <c r="G175" i="15" s="1"/>
  <c r="D370" i="13"/>
  <c r="U596" i="13" s="1"/>
  <c r="C220" i="13"/>
  <c r="C213" i="15"/>
  <c r="G213" i="15" s="1"/>
  <c r="X257" i="15" s="1"/>
  <c r="C219" i="15"/>
  <c r="G219" i="15" s="1"/>
  <c r="X297" i="15" s="1"/>
  <c r="D317" i="15"/>
  <c r="B332" i="15" s="1"/>
  <c r="C332" i="15" s="1"/>
  <c r="C287" i="13"/>
  <c r="G287" i="13" s="1"/>
  <c r="X492" i="13" s="1"/>
  <c r="C95" i="13"/>
  <c r="G95" i="13" s="1"/>
  <c r="C95" i="15"/>
  <c r="G95" i="15" s="1"/>
  <c r="C197" i="13"/>
  <c r="G197" i="13" s="1"/>
  <c r="X263" i="13" s="1"/>
  <c r="C192" i="15"/>
  <c r="G192" i="15" s="1"/>
  <c r="X231" i="15" s="1"/>
  <c r="C247" i="13"/>
  <c r="G247" i="13" s="1"/>
  <c r="X425" i="13" s="1"/>
  <c r="C248" i="13"/>
  <c r="G248" i="13" s="1"/>
  <c r="X427" i="13" s="1"/>
  <c r="C249" i="13"/>
  <c r="G249" i="13" s="1"/>
  <c r="X429" i="13" s="1"/>
  <c r="C223" i="13"/>
  <c r="G223" i="13" s="1"/>
  <c r="X316" i="13" s="1"/>
  <c r="C238" i="15"/>
  <c r="G238" i="15" s="1"/>
  <c r="X347" i="15" s="1"/>
  <c r="C227" i="13"/>
  <c r="G227" i="13" s="1"/>
  <c r="X359" i="13" s="1"/>
  <c r="C220" i="15"/>
  <c r="G220" i="15" s="1"/>
  <c r="X310" i="15" s="1"/>
  <c r="C196" i="13"/>
  <c r="G196" i="13" s="1"/>
  <c r="X262" i="13" s="1"/>
  <c r="C191" i="15"/>
  <c r="G191" i="15" s="1"/>
  <c r="X230" i="15" s="1"/>
  <c r="C246" i="13"/>
  <c r="G246" i="13" s="1"/>
  <c r="X416" i="13" s="1"/>
  <c r="C239" i="15"/>
  <c r="G239" i="15" s="1"/>
  <c r="X360" i="15" s="1"/>
  <c r="C207" i="13"/>
  <c r="G207" i="13" s="1"/>
  <c r="X287" i="13" s="1"/>
  <c r="C272" i="13"/>
  <c r="G272" i="13" s="1"/>
  <c r="T489" i="13" s="1"/>
  <c r="C206" i="13"/>
  <c r="G206" i="13" s="1"/>
  <c r="X285" i="13" s="1"/>
  <c r="C224" i="13"/>
  <c r="G224" i="13" s="1"/>
  <c r="X324" i="13" s="1"/>
  <c r="C215" i="15"/>
  <c r="G215" i="15" s="1"/>
  <c r="X275" i="15" s="1"/>
  <c r="C271" i="13"/>
  <c r="G271" i="13" s="1"/>
  <c r="T488" i="13" s="1"/>
  <c r="C218" i="15"/>
  <c r="G218" i="15" s="1"/>
  <c r="X285" i="15" s="1"/>
  <c r="C138" i="13"/>
  <c r="G138" i="13" s="1"/>
  <c r="C354" i="13"/>
  <c r="G354" i="13" s="1"/>
  <c r="X583" i="13" s="1"/>
  <c r="G109" i="15"/>
  <c r="X97" i="15" s="1"/>
  <c r="C112" i="13"/>
  <c r="G112" i="13" s="1"/>
  <c r="C112" i="15"/>
  <c r="C270" i="13"/>
  <c r="G270" i="13" s="1"/>
  <c r="T487" i="13" s="1"/>
  <c r="C267" i="13"/>
  <c r="G267" i="13" s="1"/>
  <c r="T484" i="13" s="1"/>
  <c r="C198" i="13"/>
  <c r="G198" i="13" s="1"/>
  <c r="X265" i="13" s="1"/>
  <c r="C193" i="15"/>
  <c r="G193" i="15" s="1"/>
  <c r="X233" i="15" s="1"/>
  <c r="C81" i="13"/>
  <c r="G81" i="13" s="1"/>
  <c r="X73" i="13" s="1"/>
  <c r="C81" i="15"/>
  <c r="C96" i="13"/>
  <c r="G96" i="13" s="1"/>
  <c r="X88" i="13" s="1"/>
  <c r="C96" i="15"/>
  <c r="G96" i="15" s="1"/>
  <c r="X90" i="15" s="1"/>
  <c r="C113" i="13"/>
  <c r="G113" i="13" s="1"/>
  <c r="X101" i="13" s="1"/>
  <c r="C113" i="15"/>
  <c r="G113" i="15" s="1"/>
  <c r="X103" i="15" s="1"/>
  <c r="C177" i="13"/>
  <c r="G177" i="13" s="1"/>
  <c r="X247" i="13" s="1"/>
  <c r="C171" i="15"/>
  <c r="C240" i="13"/>
  <c r="G240" i="13" s="1"/>
  <c r="X370" i="13" s="1"/>
  <c r="C233" i="15"/>
  <c r="C269" i="13"/>
  <c r="G269" i="13" s="1"/>
  <c r="T486" i="13" s="1"/>
  <c r="C205" i="13"/>
  <c r="G205" i="13" s="1"/>
  <c r="X283" i="13" s="1"/>
  <c r="C200" i="15"/>
  <c r="G200" i="15" s="1"/>
  <c r="X250" i="15" s="1"/>
  <c r="C140" i="13"/>
  <c r="G140" i="13" s="1"/>
  <c r="X129" i="13" s="1"/>
  <c r="C142" i="13"/>
  <c r="G142" i="13" s="1"/>
  <c r="X136" i="13" s="1"/>
  <c r="C143" i="15"/>
  <c r="G143" i="15" s="1"/>
  <c r="X129" i="15" s="1"/>
  <c r="C253" i="13"/>
  <c r="G253" i="13" s="1"/>
  <c r="X471" i="13" s="1"/>
  <c r="C243" i="13"/>
  <c r="G243" i="13" s="1"/>
  <c r="X381" i="13" s="1"/>
  <c r="C236" i="15"/>
  <c r="G169" i="15"/>
  <c r="X211" i="15" s="1"/>
  <c r="C250" i="13"/>
  <c r="G250" i="13" s="1"/>
  <c r="X436" i="13" s="1"/>
  <c r="C195" i="13"/>
  <c r="C190" i="15"/>
  <c r="C199" i="13"/>
  <c r="G199" i="13" s="1"/>
  <c r="X274" i="13" s="1"/>
  <c r="C194" i="15"/>
  <c r="G194" i="15" s="1"/>
  <c r="X241" i="15" s="1"/>
  <c r="C268" i="13"/>
  <c r="G268" i="13" s="1"/>
  <c r="T485" i="13" s="1"/>
  <c r="C137" i="13"/>
  <c r="G137" i="13" s="1"/>
  <c r="N127" i="13" s="1"/>
  <c r="C286" i="13"/>
  <c r="G286" i="13" s="1"/>
  <c r="X491" i="13" s="1"/>
  <c r="C285" i="13"/>
  <c r="G285" i="13" s="1"/>
  <c r="X490" i="13" s="1"/>
  <c r="C161" i="13"/>
  <c r="G161" i="13" s="1"/>
  <c r="C535" i="13"/>
  <c r="G535" i="13" s="1"/>
  <c r="C531" i="15"/>
  <c r="G531" i="15" s="1"/>
  <c r="C525" i="13"/>
  <c r="C521" i="15"/>
  <c r="G79" i="15"/>
  <c r="L75" i="15" s="1"/>
  <c r="G126" i="15"/>
  <c r="X162" i="15" s="1"/>
  <c r="N228" i="4"/>
  <c r="Y228" i="4" s="1"/>
  <c r="C452" i="13"/>
  <c r="G452" i="13" s="1"/>
  <c r="X656" i="13" s="1"/>
  <c r="C485" i="13"/>
  <c r="G485" i="13" s="1"/>
  <c r="X862" i="13" s="1"/>
  <c r="O196" i="4"/>
  <c r="X659" i="13"/>
  <c r="O195" i="4"/>
  <c r="Y195" i="4"/>
  <c r="C273" i="15" s="1"/>
  <c r="G273" i="15" s="1"/>
  <c r="X375" i="15" s="1"/>
  <c r="Y196" i="4"/>
  <c r="C274" i="15" s="1"/>
  <c r="G274" i="15" s="1"/>
  <c r="X376" i="15" s="1"/>
  <c r="P193" i="4"/>
  <c r="Y197" i="4"/>
  <c r="C275" i="15" s="1"/>
  <c r="G275" i="15" s="1"/>
  <c r="X377" i="15" s="1"/>
  <c r="P197" i="4"/>
  <c r="Y193" i="4"/>
  <c r="C271" i="15" s="1"/>
  <c r="G271" i="15" s="1"/>
  <c r="C350" i="13"/>
  <c r="C329" i="13"/>
  <c r="G329" i="13" s="1"/>
  <c r="X546" i="13" s="1"/>
  <c r="C319" i="13"/>
  <c r="G319" i="13" s="1"/>
  <c r="X527" i="13" s="1"/>
  <c r="C362" i="13"/>
  <c r="G362" i="13" s="1"/>
  <c r="T593" i="13" s="1"/>
  <c r="C328" i="13"/>
  <c r="G328" i="13" s="1"/>
  <c r="X545" i="13" s="1"/>
  <c r="C333" i="13"/>
  <c r="G333" i="13" s="1"/>
  <c r="X550" i="13" s="1"/>
  <c r="C317" i="13"/>
  <c r="G317" i="13" s="1"/>
  <c r="R529" i="13" s="1"/>
  <c r="C360" i="13"/>
  <c r="G360" i="13" s="1"/>
  <c r="C331" i="13"/>
  <c r="G331" i="13" s="1"/>
  <c r="X548" i="13" s="1"/>
  <c r="C376" i="13"/>
  <c r="G376" i="13" s="1"/>
  <c r="X599" i="13" s="1"/>
  <c r="O194" i="4"/>
  <c r="Y194" i="4"/>
  <c r="C272" i="15" s="1"/>
  <c r="G272" i="15" s="1"/>
  <c r="L179" i="4"/>
  <c r="N179" i="4" s="1"/>
  <c r="D265" i="13"/>
  <c r="I484" i="13" s="1"/>
  <c r="I206" i="4"/>
  <c r="O156" i="4"/>
  <c r="Z207" i="4"/>
  <c r="L207" i="4"/>
  <c r="O161" i="4"/>
  <c r="P164" i="4"/>
  <c r="Y161" i="4"/>
  <c r="C306" i="15" s="1"/>
  <c r="G306" i="15" s="1"/>
  <c r="R415" i="15" s="1"/>
  <c r="O164" i="4"/>
  <c r="P145" i="4"/>
  <c r="Y145" i="4"/>
  <c r="C244" i="13" s="1"/>
  <c r="G244" i="13" s="1"/>
  <c r="X391" i="13" s="1"/>
  <c r="Y156" i="4"/>
  <c r="C301" i="15" s="1"/>
  <c r="D327" i="13"/>
  <c r="B342" i="13" s="1"/>
  <c r="C342" i="13" s="1"/>
  <c r="O163" i="4"/>
  <c r="Y163" i="4"/>
  <c r="C308" i="15" s="1"/>
  <c r="G308" i="15" s="1"/>
  <c r="X417" i="15" s="1"/>
  <c r="O162" i="4"/>
  <c r="P162" i="4"/>
  <c r="L172" i="4"/>
  <c r="N172" i="4" s="1"/>
  <c r="O170" i="4"/>
  <c r="Y170" i="4"/>
  <c r="C315" i="15" s="1"/>
  <c r="G315" i="15" s="1"/>
  <c r="T424" i="15" s="1"/>
  <c r="N158" i="4"/>
  <c r="N157" i="4"/>
  <c r="O143" i="4"/>
  <c r="Y142" i="4"/>
  <c r="P144" i="4"/>
  <c r="Y143" i="4"/>
  <c r="O171" i="4"/>
  <c r="Y171" i="4"/>
  <c r="C316" i="15" s="1"/>
  <c r="G316" i="15" s="1"/>
  <c r="X424" i="15" s="1"/>
  <c r="O167" i="4"/>
  <c r="Y167" i="4"/>
  <c r="C312" i="15" s="1"/>
  <c r="G312" i="15" s="1"/>
  <c r="T426" i="15" s="1"/>
  <c r="N159" i="4"/>
  <c r="N166" i="4"/>
  <c r="P142" i="4"/>
  <c r="O144" i="4"/>
  <c r="N169" i="4"/>
  <c r="N168" i="4"/>
  <c r="M168" i="4"/>
  <c r="AX2" i="5" s="1"/>
  <c r="P154" i="4"/>
  <c r="O154" i="4"/>
  <c r="C204" i="13"/>
  <c r="G204" i="13" s="1"/>
  <c r="C200" i="13"/>
  <c r="C203" i="13"/>
  <c r="G203" i="13" s="1"/>
  <c r="X279" i="13" s="1"/>
  <c r="C202" i="13"/>
  <c r="G202" i="13" s="1"/>
  <c r="X277" i="13" s="1"/>
  <c r="C201" i="13"/>
  <c r="G201" i="13" s="1"/>
  <c r="X276" i="13" s="1"/>
  <c r="C182" i="13"/>
  <c r="G182" i="13" s="1"/>
  <c r="C181" i="13"/>
  <c r="G181" i="13" s="1"/>
  <c r="C180" i="13"/>
  <c r="X232" i="13"/>
  <c r="O57" i="4"/>
  <c r="P57" i="4"/>
  <c r="Y57" i="4"/>
  <c r="C80" i="13"/>
  <c r="L73" i="13"/>
  <c r="B229" i="13"/>
  <c r="B185" i="13"/>
  <c r="B224" i="15"/>
  <c r="B180" i="15"/>
  <c r="B230" i="13"/>
  <c r="B222" i="15"/>
  <c r="B204" i="15"/>
  <c r="B182" i="15"/>
  <c r="B211" i="13"/>
  <c r="B117" i="15"/>
  <c r="B202" i="15"/>
  <c r="B118" i="13"/>
  <c r="B231" i="13"/>
  <c r="B116" i="15"/>
  <c r="B223" i="15"/>
  <c r="B116" i="13"/>
  <c r="B187" i="13"/>
  <c r="B210" i="13"/>
  <c r="B117" i="13"/>
  <c r="B203" i="15"/>
  <c r="B118" i="15"/>
  <c r="B181" i="15"/>
  <c r="B209" i="13"/>
  <c r="B186" i="13"/>
  <c r="B581" i="15" l="1"/>
  <c r="W847" i="15"/>
  <c r="B384" i="15"/>
  <c r="W839" i="15"/>
  <c r="B519" i="15"/>
  <c r="W845" i="15"/>
  <c r="I496" i="15"/>
  <c r="B523" i="13"/>
  <c r="W954" i="13"/>
  <c r="B407" i="13"/>
  <c r="B583" i="13"/>
  <c r="I388" i="15"/>
  <c r="I748" i="15"/>
  <c r="I850" i="13"/>
  <c r="T325" i="4"/>
  <c r="J325" i="4"/>
  <c r="M336" i="4"/>
  <c r="N336" i="4"/>
  <c r="P334" i="4"/>
  <c r="Y334" i="4"/>
  <c r="C569" i="13" s="1"/>
  <c r="I604" i="13"/>
  <c r="N315" i="4"/>
  <c r="P315" i="4" s="1"/>
  <c r="Y331" i="4"/>
  <c r="O331" i="4"/>
  <c r="P331" i="4"/>
  <c r="J329" i="4"/>
  <c r="M329" i="4" s="1"/>
  <c r="H330" i="4"/>
  <c r="M327" i="4"/>
  <c r="N327" i="4"/>
  <c r="O326" i="4"/>
  <c r="P326" i="4"/>
  <c r="Y326" i="4"/>
  <c r="P322" i="4"/>
  <c r="O322" i="4"/>
  <c r="Y322" i="4"/>
  <c r="M323" i="4"/>
  <c r="N323" i="4"/>
  <c r="Y321" i="4"/>
  <c r="P321" i="4"/>
  <c r="O321" i="4"/>
  <c r="N318" i="4"/>
  <c r="O318" i="4" s="1"/>
  <c r="Y317" i="4"/>
  <c r="P317" i="4"/>
  <c r="O317" i="4"/>
  <c r="P316" i="4"/>
  <c r="O316" i="4"/>
  <c r="Y316" i="4"/>
  <c r="P314" i="4"/>
  <c r="O314" i="4"/>
  <c r="Y314" i="4"/>
  <c r="O313" i="4"/>
  <c r="P313" i="4"/>
  <c r="Y313" i="4"/>
  <c r="M308" i="4"/>
  <c r="P308" i="4"/>
  <c r="Y308" i="4"/>
  <c r="G525" i="13"/>
  <c r="X716" i="13" s="1"/>
  <c r="Y307" i="4"/>
  <c r="P307" i="4"/>
  <c r="O307" i="4"/>
  <c r="G236" i="15"/>
  <c r="X325" i="15" s="1"/>
  <c r="X196" i="13"/>
  <c r="C147" i="13"/>
  <c r="G147" i="13" s="1"/>
  <c r="X150" i="13" s="1"/>
  <c r="C148" i="15"/>
  <c r="G148" i="15" s="1"/>
  <c r="X143" i="15" s="1"/>
  <c r="C531" i="13"/>
  <c r="C527" i="15"/>
  <c r="R127" i="13"/>
  <c r="X221" i="15"/>
  <c r="X220" i="15"/>
  <c r="G195" i="13"/>
  <c r="X261" i="13" s="1"/>
  <c r="Y180" i="4"/>
  <c r="C266" i="13" s="1"/>
  <c r="G266" i="13" s="1"/>
  <c r="L487" i="13" s="1"/>
  <c r="P180" i="4"/>
  <c r="Y205" i="4"/>
  <c r="O205" i="4"/>
  <c r="L206" i="4"/>
  <c r="M206" i="4" s="1"/>
  <c r="CD2" i="5" s="1"/>
  <c r="Z206" i="4"/>
  <c r="B32" i="13"/>
  <c r="O13" i="13" s="1"/>
  <c r="B33" i="15"/>
  <c r="P13" i="15" s="1"/>
  <c r="O13" i="15"/>
  <c r="X28" i="15"/>
  <c r="Y258" i="4"/>
  <c r="C446" i="15" s="1"/>
  <c r="O258" i="4"/>
  <c r="C332" i="13"/>
  <c r="G332" i="13" s="1"/>
  <c r="X549" i="13" s="1"/>
  <c r="Y256" i="4"/>
  <c r="C429" i="15" s="1"/>
  <c r="O256" i="4"/>
  <c r="C281" i="15"/>
  <c r="G281" i="15" s="1"/>
  <c r="X383" i="15" s="1"/>
  <c r="C289" i="13"/>
  <c r="G289" i="13" s="1"/>
  <c r="X494" i="13" s="1"/>
  <c r="G220" i="13"/>
  <c r="X296" i="13" s="1"/>
  <c r="C284" i="13"/>
  <c r="G284" i="13" s="1"/>
  <c r="X489" i="13" s="1"/>
  <c r="C330" i="13"/>
  <c r="G330" i="13" s="1"/>
  <c r="X547" i="13" s="1"/>
  <c r="Y283" i="4"/>
  <c r="P283" i="4"/>
  <c r="O283" i="4"/>
  <c r="O254" i="4"/>
  <c r="Y254" i="4"/>
  <c r="C412" i="15" s="1"/>
  <c r="G412" i="15" s="1"/>
  <c r="O287" i="4"/>
  <c r="P287" i="4"/>
  <c r="Y287" i="4"/>
  <c r="C505" i="15" s="1"/>
  <c r="G505" i="15" s="1"/>
  <c r="X809" i="15" s="1"/>
  <c r="N288" i="4"/>
  <c r="P253" i="4"/>
  <c r="O253" i="4"/>
  <c r="Y253" i="4"/>
  <c r="C410" i="15"/>
  <c r="G410" i="15" s="1"/>
  <c r="X527" i="15" s="1"/>
  <c r="C432" i="13"/>
  <c r="G432" i="13" s="1"/>
  <c r="X636" i="13" s="1"/>
  <c r="C499" i="15"/>
  <c r="G499" i="15" s="1"/>
  <c r="Y251" i="4"/>
  <c r="P251" i="4"/>
  <c r="O251" i="4"/>
  <c r="C408" i="15"/>
  <c r="G408" i="15" s="1"/>
  <c r="X525" i="15" s="1"/>
  <c r="C430" i="13"/>
  <c r="G430" i="13" s="1"/>
  <c r="X634" i="13" s="1"/>
  <c r="P165" i="4"/>
  <c r="O165" i="4"/>
  <c r="Y165" i="4"/>
  <c r="P160" i="4"/>
  <c r="Y160" i="4"/>
  <c r="O160" i="4"/>
  <c r="P155" i="4"/>
  <c r="Y155" i="4"/>
  <c r="O155" i="4"/>
  <c r="P285" i="4"/>
  <c r="O285" i="4"/>
  <c r="Y285" i="4"/>
  <c r="Y282" i="4"/>
  <c r="O282" i="4"/>
  <c r="P282" i="4"/>
  <c r="O271" i="4"/>
  <c r="P271" i="4"/>
  <c r="Y271" i="4"/>
  <c r="Y240" i="4"/>
  <c r="P240" i="4"/>
  <c r="O240" i="4"/>
  <c r="X374" i="15"/>
  <c r="X373" i="15"/>
  <c r="X592" i="13"/>
  <c r="B183" i="15"/>
  <c r="B184" i="15" s="1"/>
  <c r="B225" i="15"/>
  <c r="B226" i="15" s="1"/>
  <c r="O22" i="15" s="1"/>
  <c r="B119" i="13"/>
  <c r="B120" i="13" s="1"/>
  <c r="O17" i="13" s="1"/>
  <c r="B119" i="15"/>
  <c r="B120" i="15" s="1"/>
  <c r="B205" i="15"/>
  <c r="B206" i="15" s="1"/>
  <c r="O21" i="15" s="1"/>
  <c r="C242" i="13"/>
  <c r="G242" i="13" s="1"/>
  <c r="X374" i="13" s="1"/>
  <c r="C282" i="13"/>
  <c r="G282" i="13" s="1"/>
  <c r="X487" i="13" s="1"/>
  <c r="C370" i="13"/>
  <c r="G370" i="13" s="1"/>
  <c r="X595" i="13" s="1"/>
  <c r="G171" i="15"/>
  <c r="X213" i="15" s="1"/>
  <c r="C97" i="13"/>
  <c r="C97" i="15"/>
  <c r="C237" i="15"/>
  <c r="G237" i="15" s="1"/>
  <c r="X335" i="15" s="1"/>
  <c r="D293" i="13"/>
  <c r="I494" i="13" s="1"/>
  <c r="C279" i="13"/>
  <c r="G279" i="13" s="1"/>
  <c r="X484" i="13" s="1"/>
  <c r="C241" i="13"/>
  <c r="G241" i="13" s="1"/>
  <c r="X372" i="13" s="1"/>
  <c r="C234" i="15"/>
  <c r="G301" i="15"/>
  <c r="R406" i="15" s="1"/>
  <c r="C280" i="13"/>
  <c r="G280" i="13" s="1"/>
  <c r="X485" i="13" s="1"/>
  <c r="G233" i="15"/>
  <c r="X321" i="15" s="1"/>
  <c r="G81" i="15"/>
  <c r="X75" i="15" s="1"/>
  <c r="G112" i="15"/>
  <c r="X102" i="15" s="1"/>
  <c r="C283" i="13"/>
  <c r="G283" i="13" s="1"/>
  <c r="X488" i="13" s="1"/>
  <c r="C281" i="13"/>
  <c r="G281" i="13" s="1"/>
  <c r="X486" i="13" s="1"/>
  <c r="G521" i="15"/>
  <c r="X616" i="15" s="1"/>
  <c r="G190" i="15"/>
  <c r="X229" i="15" s="1"/>
  <c r="X423" i="15"/>
  <c r="B333" i="15"/>
  <c r="B334" i="15" s="1"/>
  <c r="V14" i="15" s="1"/>
  <c r="P228" i="4"/>
  <c r="O228" i="4"/>
  <c r="B343" i="13"/>
  <c r="C484" i="13"/>
  <c r="G350" i="13"/>
  <c r="C326" i="13"/>
  <c r="G326" i="13" s="1"/>
  <c r="X536" i="13" s="1"/>
  <c r="C325" i="13"/>
  <c r="G325" i="13" s="1"/>
  <c r="T536" i="13" s="1"/>
  <c r="C368" i="13"/>
  <c r="G368" i="13" s="1"/>
  <c r="X594" i="13" s="1"/>
  <c r="C311" i="13"/>
  <c r="G311" i="13" s="1"/>
  <c r="C351" i="13"/>
  <c r="C322" i="13"/>
  <c r="G322" i="13" s="1"/>
  <c r="T538" i="13" s="1"/>
  <c r="C365" i="13"/>
  <c r="G365" i="13" s="1"/>
  <c r="P594" i="13" s="1"/>
  <c r="C318" i="13"/>
  <c r="G318" i="13" s="1"/>
  <c r="X529" i="13" s="1"/>
  <c r="C361" i="13"/>
  <c r="G361" i="13" s="1"/>
  <c r="C316" i="13"/>
  <c r="G316" i="13" s="1"/>
  <c r="R527" i="13" s="1"/>
  <c r="M179" i="4"/>
  <c r="BE2" i="5" s="1"/>
  <c r="P179" i="4"/>
  <c r="Y179" i="4"/>
  <c r="O179" i="4"/>
  <c r="N207" i="4"/>
  <c r="M207" i="4"/>
  <c r="CE2" i="5" s="1"/>
  <c r="X535" i="13"/>
  <c r="M172" i="4"/>
  <c r="Y172" i="4"/>
  <c r="C317" i="15" s="1"/>
  <c r="G317" i="15" s="1"/>
  <c r="O172" i="4"/>
  <c r="P172" i="4"/>
  <c r="P158" i="4"/>
  <c r="Y158" i="4"/>
  <c r="C303" i="15" s="1"/>
  <c r="G303" i="15" s="1"/>
  <c r="X408" i="15" s="1"/>
  <c r="O158" i="4"/>
  <c r="Y157" i="4"/>
  <c r="C302" i="15" s="1"/>
  <c r="O157" i="4"/>
  <c r="P157" i="4"/>
  <c r="B232" i="13"/>
  <c r="B233" i="13" s="1"/>
  <c r="O22" i="13" s="1"/>
  <c r="Y166" i="4"/>
  <c r="C311" i="15" s="1"/>
  <c r="G311" i="15" s="1"/>
  <c r="P424" i="15" s="1"/>
  <c r="O166" i="4"/>
  <c r="P166" i="4"/>
  <c r="O159" i="4"/>
  <c r="P159" i="4"/>
  <c r="Y159" i="4"/>
  <c r="C304" i="15" s="1"/>
  <c r="G304" i="15" s="1"/>
  <c r="X406" i="15" s="1"/>
  <c r="P168" i="4"/>
  <c r="O168" i="4"/>
  <c r="Y168" i="4"/>
  <c r="C313" i="15" s="1"/>
  <c r="G313" i="15" s="1"/>
  <c r="X426" i="15" s="1"/>
  <c r="Y169" i="4"/>
  <c r="C314" i="15" s="1"/>
  <c r="G314" i="15" s="1"/>
  <c r="N426" i="15" s="1"/>
  <c r="O169" i="4"/>
  <c r="P169" i="4"/>
  <c r="X281" i="13"/>
  <c r="B212" i="13"/>
  <c r="B214" i="13" s="1"/>
  <c r="P21" i="13" s="1"/>
  <c r="G200" i="13"/>
  <c r="X275" i="13" s="1"/>
  <c r="X256" i="13"/>
  <c r="X255" i="13"/>
  <c r="B188" i="13"/>
  <c r="B189" i="13" s="1"/>
  <c r="O20" i="13" s="1"/>
  <c r="G180" i="13"/>
  <c r="X100" i="13"/>
  <c r="G80" i="13"/>
  <c r="B465" i="15"/>
  <c r="B434" i="15"/>
  <c r="B450" i="15"/>
  <c r="B249" i="15"/>
  <c r="B255" i="13"/>
  <c r="B537" i="15"/>
  <c r="B535" i="15"/>
  <c r="B464" i="15"/>
  <c r="B101" i="13"/>
  <c r="B541" i="13"/>
  <c r="B448" i="15"/>
  <c r="B536" i="15"/>
  <c r="B472" i="13"/>
  <c r="B100" i="15"/>
  <c r="B101" i="15"/>
  <c r="B432" i="15"/>
  <c r="B449" i="15"/>
  <c r="B433" i="15"/>
  <c r="B256" i="13"/>
  <c r="B99" i="15"/>
  <c r="B248" i="15"/>
  <c r="B257" i="13"/>
  <c r="B99" i="13"/>
  <c r="B466" i="15"/>
  <c r="B539" i="13"/>
  <c r="B540" i="13"/>
  <c r="B250" i="15"/>
  <c r="B100" i="13"/>
  <c r="B585" i="13" l="1"/>
  <c r="W956" i="13"/>
  <c r="I820" i="15"/>
  <c r="I930" i="13"/>
  <c r="C565" i="15"/>
  <c r="N325" i="4"/>
  <c r="M325" i="4"/>
  <c r="G569" i="13"/>
  <c r="X934" i="13" s="1"/>
  <c r="O336" i="4"/>
  <c r="Y336" i="4"/>
  <c r="P336" i="4"/>
  <c r="Y315" i="4"/>
  <c r="O315" i="4"/>
  <c r="J330" i="4"/>
  <c r="N330" i="4" s="1"/>
  <c r="Y330" i="4" s="1"/>
  <c r="H332" i="4"/>
  <c r="B338" i="15" s="1"/>
  <c r="N329" i="4"/>
  <c r="O329" i="4" s="1"/>
  <c r="T330" i="4"/>
  <c r="Y327" i="4"/>
  <c r="P327" i="4"/>
  <c r="O327" i="4"/>
  <c r="N206" i="4"/>
  <c r="P206" i="4" s="1"/>
  <c r="Y323" i="4"/>
  <c r="P323" i="4"/>
  <c r="O323" i="4"/>
  <c r="P318" i="4"/>
  <c r="Y318" i="4"/>
  <c r="C553" i="13"/>
  <c r="C549" i="15"/>
  <c r="G531" i="13"/>
  <c r="X784" i="13" s="1"/>
  <c r="X529" i="15"/>
  <c r="B538" i="15"/>
  <c r="B540" i="15" s="1"/>
  <c r="G527" i="15"/>
  <c r="X682" i="15" s="1"/>
  <c r="C291" i="13"/>
  <c r="G291" i="13" s="1"/>
  <c r="C283" i="15"/>
  <c r="G283" i="15" s="1"/>
  <c r="B467" i="15"/>
  <c r="B469" i="15" s="1"/>
  <c r="G446" i="15"/>
  <c r="X493" i="15" s="1"/>
  <c r="B473" i="13"/>
  <c r="B474" i="13" s="1"/>
  <c r="O20" i="15"/>
  <c r="X27" i="13"/>
  <c r="B451" i="15"/>
  <c r="B453" i="15" s="1"/>
  <c r="B435" i="15"/>
  <c r="G429" i="15"/>
  <c r="L547" i="15" s="1"/>
  <c r="C451" i="13"/>
  <c r="G451" i="13" s="1"/>
  <c r="L656" i="13" s="1"/>
  <c r="X566" i="13"/>
  <c r="C434" i="13"/>
  <c r="G434" i="13" s="1"/>
  <c r="X638" i="13" s="1"/>
  <c r="C506" i="13"/>
  <c r="G506" i="13" s="1"/>
  <c r="X912" i="13" s="1"/>
  <c r="C501" i="15"/>
  <c r="G501" i="15" s="1"/>
  <c r="X795" i="15" s="1"/>
  <c r="Y288" i="4"/>
  <c r="O288" i="4"/>
  <c r="P288" i="4"/>
  <c r="C411" i="15"/>
  <c r="G411" i="15" s="1"/>
  <c r="X528" i="15" s="1"/>
  <c r="C433" i="13"/>
  <c r="G433" i="13" s="1"/>
  <c r="X637" i="13" s="1"/>
  <c r="C409" i="15"/>
  <c r="G409" i="15" s="1"/>
  <c r="X526" i="15" s="1"/>
  <c r="C431" i="13"/>
  <c r="G431" i="13" s="1"/>
  <c r="X635" i="13" s="1"/>
  <c r="C310" i="15"/>
  <c r="G310" i="15" s="1"/>
  <c r="X421" i="15" s="1"/>
  <c r="C320" i="13"/>
  <c r="G320" i="13" s="1"/>
  <c r="X533" i="13" s="1"/>
  <c r="C305" i="15"/>
  <c r="G305" i="15" s="1"/>
  <c r="X412" i="15" s="1"/>
  <c r="C315" i="13"/>
  <c r="G315" i="13" s="1"/>
  <c r="X524" i="13" s="1"/>
  <c r="C300" i="15"/>
  <c r="C310" i="13"/>
  <c r="G310" i="13" s="1"/>
  <c r="X515" i="13" s="1"/>
  <c r="C508" i="13"/>
  <c r="G508" i="13" s="1"/>
  <c r="X917" i="13" s="1"/>
  <c r="C503" i="15"/>
  <c r="G503" i="15" s="1"/>
  <c r="X800" i="15" s="1"/>
  <c r="C505" i="13"/>
  <c r="G505" i="13" s="1"/>
  <c r="C500" i="15"/>
  <c r="G500" i="15" s="1"/>
  <c r="C494" i="13"/>
  <c r="C489" i="15"/>
  <c r="C367" i="15"/>
  <c r="C392" i="13"/>
  <c r="G392" i="13" s="1"/>
  <c r="X612" i="13" s="1"/>
  <c r="B121" i="13"/>
  <c r="P17" i="13" s="1"/>
  <c r="X92" i="13"/>
  <c r="B207" i="15"/>
  <c r="P21" i="15" s="1"/>
  <c r="B227" i="15"/>
  <c r="P22" i="15" s="1"/>
  <c r="B185" i="15"/>
  <c r="P20" i="15" s="1"/>
  <c r="B251" i="15"/>
  <c r="B253" i="15" s="1"/>
  <c r="P23" i="15" s="1"/>
  <c r="B102" i="13"/>
  <c r="B103" i="13" s="1"/>
  <c r="O16" i="13" s="1"/>
  <c r="B258" i="13"/>
  <c r="B260" i="13" s="1"/>
  <c r="P23" i="13" s="1"/>
  <c r="B102" i="15"/>
  <c r="B104" i="15" s="1"/>
  <c r="P16" i="15" s="1"/>
  <c r="X94" i="15"/>
  <c r="O17" i="15"/>
  <c r="X208" i="15"/>
  <c r="X317" i="15"/>
  <c r="X252" i="15"/>
  <c r="C265" i="13"/>
  <c r="G265" i="13" s="1"/>
  <c r="L483" i="13" s="1"/>
  <c r="C258" i="15"/>
  <c r="D292" i="13"/>
  <c r="I491" i="13" s="1"/>
  <c r="G234" i="15"/>
  <c r="X323" i="15" s="1"/>
  <c r="B121" i="15"/>
  <c r="P17" i="15" s="1"/>
  <c r="X226" i="15"/>
  <c r="G302" i="15"/>
  <c r="R408" i="15" s="1"/>
  <c r="G97" i="13"/>
  <c r="R88" i="13" s="1"/>
  <c r="G97" i="15"/>
  <c r="R90" i="15" s="1"/>
  <c r="P593" i="13"/>
  <c r="B542" i="13"/>
  <c r="B544" i="13" s="1"/>
  <c r="G484" i="13"/>
  <c r="P862" i="13" s="1"/>
  <c r="G351" i="13"/>
  <c r="C327" i="13"/>
  <c r="G327" i="13" s="1"/>
  <c r="C313" i="13"/>
  <c r="G313" i="13" s="1"/>
  <c r="X520" i="13" s="1"/>
  <c r="C353" i="13"/>
  <c r="G353" i="13" s="1"/>
  <c r="X581" i="13" s="1"/>
  <c r="C323" i="13"/>
  <c r="G323" i="13" s="1"/>
  <c r="X538" i="13" s="1"/>
  <c r="C366" i="13"/>
  <c r="G366" i="13" s="1"/>
  <c r="T594" i="13" s="1"/>
  <c r="C321" i="13"/>
  <c r="G321" i="13" s="1"/>
  <c r="P536" i="13" s="1"/>
  <c r="C364" i="13"/>
  <c r="G364" i="13" s="1"/>
  <c r="X593" i="13" s="1"/>
  <c r="C324" i="13"/>
  <c r="G324" i="13" s="1"/>
  <c r="N538" i="13" s="1"/>
  <c r="C314" i="13"/>
  <c r="G314" i="13" s="1"/>
  <c r="X518" i="13" s="1"/>
  <c r="C355" i="13"/>
  <c r="G355" i="13" s="1"/>
  <c r="P587" i="13" s="1"/>
  <c r="C312" i="13"/>
  <c r="C352" i="13"/>
  <c r="Y207" i="4"/>
  <c r="O207" i="4"/>
  <c r="P207" i="4"/>
  <c r="X291" i="13"/>
  <c r="X242" i="13"/>
  <c r="X366" i="13"/>
  <c r="B344" i="13"/>
  <c r="R518" i="13"/>
  <c r="B234" i="13"/>
  <c r="P22" i="13" s="1"/>
  <c r="B213" i="13"/>
  <c r="O21" i="13" s="1"/>
  <c r="X254" i="13"/>
  <c r="B190" i="13"/>
  <c r="P20" i="13" s="1"/>
  <c r="T73" i="13"/>
  <c r="B327" i="15"/>
  <c r="B336" i="13"/>
  <c r="B370" i="15"/>
  <c r="B507" i="15"/>
  <c r="B555" i="13"/>
  <c r="B335" i="13"/>
  <c r="B396" i="13"/>
  <c r="B509" i="15"/>
  <c r="B337" i="13"/>
  <c r="B556" i="13"/>
  <c r="B551" i="15"/>
  <c r="B553" i="15"/>
  <c r="B513" i="13"/>
  <c r="B325" i="15"/>
  <c r="B373" i="15"/>
  <c r="B508" i="15"/>
  <c r="B512" i="13"/>
  <c r="B511" i="13"/>
  <c r="B557" i="13"/>
  <c r="B395" i="13"/>
  <c r="B552" i="15"/>
  <c r="B397" i="13"/>
  <c r="B374" i="15"/>
  <c r="B326" i="15"/>
  <c r="B348" i="13" l="1"/>
  <c r="B296" i="15"/>
  <c r="I367" i="15"/>
  <c r="B306" i="13"/>
  <c r="W945" i="13" s="1"/>
  <c r="G565" i="15"/>
  <c r="X824" i="15" s="1"/>
  <c r="C571" i="13"/>
  <c r="C567" i="15"/>
  <c r="P325" i="4"/>
  <c r="O325" i="4"/>
  <c r="Y325" i="4"/>
  <c r="H333" i="4"/>
  <c r="B590" i="15" s="1"/>
  <c r="P330" i="4"/>
  <c r="O330" i="4"/>
  <c r="M330" i="4"/>
  <c r="T332" i="4"/>
  <c r="J332" i="4"/>
  <c r="Y329" i="4"/>
  <c r="P329" i="4"/>
  <c r="Y206" i="4"/>
  <c r="C292" i="13" s="1"/>
  <c r="O206" i="4"/>
  <c r="X21" i="15"/>
  <c r="B554" i="15"/>
  <c r="B556" i="15" s="1"/>
  <c r="X24" i="15" s="1"/>
  <c r="G549" i="15"/>
  <c r="X538" i="15" s="1"/>
  <c r="B558" i="13"/>
  <c r="B559" i="13" s="1"/>
  <c r="X642" i="13" s="1"/>
  <c r="G553" i="13"/>
  <c r="X647" i="13" s="1"/>
  <c r="V16" i="13"/>
  <c r="V17" i="13"/>
  <c r="V14" i="13"/>
  <c r="X925" i="13"/>
  <c r="B539" i="15"/>
  <c r="B437" i="15"/>
  <c r="B468" i="15"/>
  <c r="B475" i="13"/>
  <c r="B452" i="15"/>
  <c r="B436" i="15"/>
  <c r="B328" i="15"/>
  <c r="B329" i="15" s="1"/>
  <c r="G300" i="15"/>
  <c r="X403" i="15" s="1"/>
  <c r="B514" i="13"/>
  <c r="B516" i="13" s="1"/>
  <c r="B510" i="15"/>
  <c r="B511" i="15" s="1"/>
  <c r="G494" i="13"/>
  <c r="P887" i="13" s="1"/>
  <c r="G489" i="15"/>
  <c r="P778" i="15" s="1"/>
  <c r="B375" i="15"/>
  <c r="B377" i="15" s="1"/>
  <c r="G367" i="15"/>
  <c r="X504" i="15" s="1"/>
  <c r="B259" i="13"/>
  <c r="O23" i="13" s="1"/>
  <c r="B104" i="13"/>
  <c r="P16" i="13" s="1"/>
  <c r="X65" i="13"/>
  <c r="B252" i="15"/>
  <c r="O23" i="15" s="1"/>
  <c r="B103" i="15"/>
  <c r="X67" i="15" s="1"/>
  <c r="C293" i="13"/>
  <c r="G293" i="13" s="1"/>
  <c r="L493" i="13" s="1"/>
  <c r="G258" i="15"/>
  <c r="L372" i="15" s="1"/>
  <c r="B543" i="13"/>
  <c r="W23" i="13" s="1"/>
  <c r="B398" i="13"/>
  <c r="B400" i="13" s="1"/>
  <c r="G352" i="13"/>
  <c r="X569" i="13" s="1"/>
  <c r="B338" i="13"/>
  <c r="B340" i="13" s="1"/>
  <c r="G312" i="13"/>
  <c r="R520" i="13" s="1"/>
  <c r="X258" i="13"/>
  <c r="B570" i="15"/>
  <c r="B585" i="15"/>
  <c r="B286" i="15"/>
  <c r="B287" i="15"/>
  <c r="B588" i="13"/>
  <c r="B295" i="13"/>
  <c r="B584" i="15"/>
  <c r="B571" i="15"/>
  <c r="B297" i="13"/>
  <c r="B574" i="13"/>
  <c r="B573" i="13"/>
  <c r="B590" i="13"/>
  <c r="B285" i="15"/>
  <c r="B296" i="13"/>
  <c r="B586" i="15"/>
  <c r="B569" i="15"/>
  <c r="B575" i="13"/>
  <c r="B589" i="13"/>
  <c r="B298" i="15" l="1"/>
  <c r="W835" i="15"/>
  <c r="W848" i="15" s="1"/>
  <c r="W948" i="13"/>
  <c r="W949" i="13"/>
  <c r="W946" i="13"/>
  <c r="W947" i="13"/>
  <c r="B308" i="13"/>
  <c r="I478" i="13"/>
  <c r="B594" i="13"/>
  <c r="AC26" i="15"/>
  <c r="AB26" i="15" s="1"/>
  <c r="B587" i="15"/>
  <c r="J333" i="4"/>
  <c r="B591" i="13"/>
  <c r="B592" i="13" s="1"/>
  <c r="G571" i="13"/>
  <c r="X938" i="13" s="1"/>
  <c r="B572" i="15"/>
  <c r="B573" i="15" s="1"/>
  <c r="X820" i="15" s="1"/>
  <c r="B576" i="13"/>
  <c r="B578" i="13" s="1"/>
  <c r="G567" i="15"/>
  <c r="X828" i="15" s="1"/>
  <c r="I500" i="13"/>
  <c r="X16" i="15"/>
  <c r="X17" i="15"/>
  <c r="T333" i="4"/>
  <c r="W333" i="4" s="1"/>
  <c r="L333" i="4" s="1"/>
  <c r="M332" i="4"/>
  <c r="N332" i="4"/>
  <c r="X19" i="15"/>
  <c r="W22" i="15"/>
  <c r="W23" i="15"/>
  <c r="X20" i="15"/>
  <c r="X481" i="15"/>
  <c r="W20" i="15"/>
  <c r="X388" i="15"/>
  <c r="W14" i="15"/>
  <c r="X541" i="15"/>
  <c r="X815" i="15"/>
  <c r="W21" i="15"/>
  <c r="B560" i="13"/>
  <c r="X23" i="13" s="1"/>
  <c r="X21" i="13"/>
  <c r="B555" i="15"/>
  <c r="W19" i="15" s="1"/>
  <c r="X22" i="13"/>
  <c r="X605" i="15"/>
  <c r="X748" i="15"/>
  <c r="B330" i="15"/>
  <c r="X14" i="15" s="1"/>
  <c r="B515" i="13"/>
  <c r="W22" i="13" s="1"/>
  <c r="B512" i="15"/>
  <c r="B376" i="15"/>
  <c r="W17" i="15" s="1"/>
  <c r="O16" i="15"/>
  <c r="B298" i="13"/>
  <c r="B300" i="13" s="1"/>
  <c r="X13" i="13" s="1"/>
  <c r="B288" i="15"/>
  <c r="G292" i="13"/>
  <c r="L490" i="13" s="1"/>
  <c r="X705" i="13"/>
  <c r="B399" i="13"/>
  <c r="B339" i="13"/>
  <c r="T66" i="4"/>
  <c r="W66" i="4" s="1"/>
  <c r="L66" i="4" s="1"/>
  <c r="J66" i="4"/>
  <c r="B128" i="13"/>
  <c r="W957" i="13" l="1"/>
  <c r="X16" i="13"/>
  <c r="B589" i="15"/>
  <c r="Q26" i="15"/>
  <c r="B588" i="15"/>
  <c r="M333" i="4"/>
  <c r="AC25" i="13"/>
  <c r="AB25" i="13" s="1"/>
  <c r="Q25" i="13" s="1"/>
  <c r="G586" i="13"/>
  <c r="X24" i="13"/>
  <c r="B593" i="13"/>
  <c r="B574" i="15"/>
  <c r="W25" i="15"/>
  <c r="B577" i="13"/>
  <c r="X930" i="13" s="1"/>
  <c r="N333" i="4"/>
  <c r="O333" i="4" s="1"/>
  <c r="P332" i="4"/>
  <c r="O332" i="4"/>
  <c r="Y332" i="4"/>
  <c r="X22" i="15"/>
  <c r="X23" i="15"/>
  <c r="X496" i="15"/>
  <c r="W16" i="15"/>
  <c r="X533" i="15"/>
  <c r="W24" i="15"/>
  <c r="W16" i="13"/>
  <c r="X14" i="13"/>
  <c r="X850" i="13"/>
  <c r="W21" i="13"/>
  <c r="X500" i="13"/>
  <c r="B290" i="15"/>
  <c r="X13" i="15" s="1"/>
  <c r="B299" i="13"/>
  <c r="W13" i="13" s="1"/>
  <c r="B289" i="15"/>
  <c r="W13" i="15" s="1"/>
  <c r="B386" i="13"/>
  <c r="V15" i="13" s="1"/>
  <c r="X604" i="13"/>
  <c r="N66" i="4"/>
  <c r="Y66" i="4" s="1"/>
  <c r="C128" i="15" s="1"/>
  <c r="M66" i="4"/>
  <c r="O2" i="5" s="1"/>
  <c r="B161" i="15"/>
  <c r="B159" i="15"/>
  <c r="B160" i="15"/>
  <c r="X25" i="15" l="1"/>
  <c r="W24" i="13"/>
  <c r="P333" i="4"/>
  <c r="Y333" i="4"/>
  <c r="W14" i="13"/>
  <c r="X478" i="13"/>
  <c r="B162" i="15"/>
  <c r="B164" i="15" s="1"/>
  <c r="G128" i="15"/>
  <c r="X367" i="15"/>
  <c r="P66" i="4"/>
  <c r="C128" i="13"/>
  <c r="O66" i="4"/>
  <c r="B166" i="13"/>
  <c r="B165" i="13"/>
  <c r="B167" i="13"/>
  <c r="P18" i="15" l="1"/>
  <c r="B163" i="15"/>
  <c r="B168" i="13"/>
  <c r="B170" i="13" s="1"/>
  <c r="G128" i="13"/>
  <c r="P18" i="13" l="1"/>
  <c r="X108" i="15"/>
  <c r="O18" i="15"/>
  <c r="B169" i="13"/>
  <c r="O18" i="13" l="1"/>
  <c r="X106" i="13"/>
  <c r="T255" i="4"/>
  <c r="W255" i="4" s="1"/>
  <c r="J255" i="4"/>
  <c r="T639" i="13"/>
  <c r="I255" i="4" l="1"/>
  <c r="Z255" i="4" s="1"/>
  <c r="L255" i="4" l="1"/>
  <c r="D435" i="13" l="1"/>
  <c r="T640" i="13" s="1"/>
  <c r="D413" i="15"/>
  <c r="T531" i="15" s="1"/>
  <c r="M255" i="4"/>
  <c r="N255" i="4"/>
  <c r="P255" i="4" l="1"/>
  <c r="Y255" i="4"/>
  <c r="C413" i="15" s="1"/>
  <c r="O255" i="4"/>
  <c r="B416" i="15"/>
  <c r="B415" i="15"/>
  <c r="B417" i="15"/>
  <c r="B418" i="15" l="1"/>
  <c r="B420" i="15" s="1"/>
  <c r="X18" i="15" s="1"/>
  <c r="G413" i="15"/>
  <c r="C435" i="13"/>
  <c r="B437" i="13"/>
  <c r="B454" i="13"/>
  <c r="B439" i="13"/>
  <c r="B455" i="13"/>
  <c r="B456" i="13"/>
  <c r="B438" i="13"/>
  <c r="X530" i="15" l="1"/>
  <c r="B419" i="15"/>
  <c r="W18" i="15" s="1"/>
  <c r="B457" i="13"/>
  <c r="B459" i="13" s="1"/>
  <c r="B440" i="13"/>
  <c r="B442" i="13" s="1"/>
  <c r="G435" i="13"/>
  <c r="X639" i="13" s="1"/>
  <c r="X18" i="13" l="1"/>
  <c r="X17" i="13"/>
  <c r="X19" i="13"/>
  <c r="X20" i="13"/>
  <c r="X518" i="15"/>
  <c r="B458" i="13"/>
  <c r="B441" i="13"/>
  <c r="W18" i="13" l="1"/>
  <c r="W17" i="13"/>
  <c r="W19" i="13"/>
  <c r="W20" i="13"/>
  <c r="X650" i="13"/>
  <c r="X628" i="13"/>
  <c r="L214" i="4"/>
  <c r="M214" i="4" s="1"/>
  <c r="N214" i="4" l="1"/>
  <c r="O214" i="4" l="1"/>
  <c r="P214" i="4"/>
  <c r="Y214" i="4"/>
  <c r="H6" i="4"/>
  <c r="B355" i="15"/>
  <c r="B353" i="15"/>
  <c r="B354" i="15"/>
  <c r="B356" i="15" l="1"/>
  <c r="B357" i="15" s="1"/>
  <c r="W15" i="15" s="1"/>
  <c r="B9" i="15"/>
  <c r="B10" i="15" s="1"/>
  <c r="B13" i="15"/>
  <c r="H5" i="4"/>
  <c r="C356" i="13"/>
  <c r="H4" i="4"/>
  <c r="T6" i="4"/>
  <c r="J6" i="4"/>
  <c r="M6" i="4" s="1"/>
  <c r="B379" i="13"/>
  <c r="B380" i="13"/>
  <c r="B378" i="13"/>
  <c r="B358" i="15" l="1"/>
  <c r="X15" i="15" s="1"/>
  <c r="B11" i="15"/>
  <c r="H6" i="15" s="1"/>
  <c r="B12" i="15"/>
  <c r="I6" i="15" s="1"/>
  <c r="X440" i="15"/>
  <c r="B381" i="13"/>
  <c r="B382" i="13" s="1"/>
  <c r="W15" i="13" s="1"/>
  <c r="T5" i="4"/>
  <c r="J5" i="4"/>
  <c r="M5" i="4" s="1"/>
  <c r="G356" i="13"/>
  <c r="X587" i="13" s="1"/>
  <c r="B13" i="13"/>
  <c r="B9" i="13"/>
  <c r="B10" i="13" s="1"/>
  <c r="J4" i="4"/>
  <c r="M4" i="4" s="1"/>
  <c r="H7" i="4"/>
  <c r="T4" i="4"/>
  <c r="B383" i="13" l="1"/>
  <c r="X15" i="13" s="1"/>
  <c r="H8" i="4"/>
  <c r="J7" i="4"/>
  <c r="M7" i="4" s="1"/>
  <c r="T7" i="4"/>
  <c r="X552" i="13"/>
  <c r="B12" i="13"/>
  <c r="I6" i="13" s="1"/>
  <c r="B11" i="13"/>
  <c r="H6" i="13" s="1"/>
  <c r="S3" i="15" l="1"/>
  <c r="T3" i="15" s="1"/>
  <c r="S3" i="13"/>
  <c r="T3" i="13" s="1"/>
  <c r="T8" i="4"/>
  <c r="J8" i="4"/>
  <c r="M8" i="4" s="1"/>
  <c r="B2"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X1" authorId="0" shapeId="0" xr:uid="{00000000-0006-0000-0400-000001000000}">
      <text>
        <r>
          <rPr>
            <b/>
            <sz val="9"/>
            <color indexed="81"/>
            <rFont val="Tahoma"/>
            <family val="2"/>
          </rPr>
          <t>Tip:</t>
        </r>
        <r>
          <rPr>
            <sz val="9"/>
            <color indexed="81"/>
            <rFont val="Tahoma"/>
            <family val="2"/>
          </rPr>
          <t xml:space="preserve"> Most fields are flagged as '1' so that all status codes are utilized in %age complete calc.  However, some are ignored (such as </t>
        </r>
        <r>
          <rPr>
            <sz val="9"/>
            <color indexed="81"/>
            <rFont val="Tahoma"/>
            <family val="2"/>
          </rPr>
          <t xml:space="preserve">
PROJ_ID and APP_COMPLETE_FLAG since they are behind-the-scenes calcualtions that don't impact the progress of the app and thus we don't want any status indicators to be utilized in the %age complete. Others, such as Unit Group Totals are marked as '2', which means if an error exists (units exceed total ahp units, which is a stopping error), that error code of zero (0) will flow through and thus never allow the user to hit 100% complete (until the errors are cleared up)</t>
        </r>
      </text>
    </comment>
    <comment ref="E10" authorId="0" shapeId="0" xr:uid="{00000000-0006-0000-0400-000002000000}">
      <text>
        <r>
          <rPr>
            <b/>
            <sz val="9"/>
            <color indexed="81"/>
            <rFont val="Tahoma"/>
            <family val="2"/>
          </rPr>
          <t>Author:</t>
        </r>
        <r>
          <rPr>
            <sz val="9"/>
            <color indexed="81"/>
            <rFont val="Tahoma"/>
            <family val="2"/>
          </rPr>
          <t xml:space="preserve">
FHLBSF does not rely on APP_TYPE as the member has already setup the application type and project name ahead of submission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 authorId="0" shapeId="0" xr:uid="{00000000-0006-0000-0500-000001000000}">
      <text>
        <r>
          <rPr>
            <b/>
            <sz val="9"/>
            <color indexed="81"/>
            <rFont val="Tahoma"/>
            <family val="2"/>
          </rPr>
          <t>Author:</t>
        </r>
        <r>
          <rPr>
            <sz val="9"/>
            <color indexed="81"/>
            <rFont val="Tahoma"/>
            <family val="2"/>
          </rPr>
          <t xml:space="preserve">
FHLBSF District States on Top</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<sst xmlns="http://schemas.openxmlformats.org/spreadsheetml/2006/main" count="11623" uniqueCount="3939">
  <si>
    <t>FIELD_ID</t>
  </si>
  <si>
    <t>FIELD_DESC</t>
  </si>
  <si>
    <t>FIELD_VALUE_RAW</t>
  </si>
  <si>
    <t>FIELD_VALUE_CLEAN</t>
  </si>
  <si>
    <t>FIELD_REQ_FLAG</t>
  </si>
  <si>
    <t>CONFIG_VAR</t>
  </si>
  <si>
    <t>CONFIG_DESC</t>
  </si>
  <si>
    <t>CONFIG_TYPE</t>
  </si>
  <si>
    <t>CONFIG_VALUE</t>
  </si>
  <si>
    <t>Application Type</t>
  </si>
  <si>
    <t>APP_TYPE</t>
  </si>
  <si>
    <t>Text</t>
  </si>
  <si>
    <t>MAP:{$DB.EXPORT}</t>
  </si>
  <si>
    <t>Application Type Code</t>
  </si>
  <si>
    <t>a</t>
  </si>
  <si>
    <t>r</t>
  </si>
  <si>
    <t>Webdings</t>
  </si>
  <si>
    <t>FIELD_STATUS_CODE</t>
  </si>
  <si>
    <t>FIELD_STATUS_DISPLAY</t>
  </si>
  <si>
    <t>FIELD_STATUS_ICON</t>
  </si>
  <si>
    <t>Not Required, Empty</t>
  </si>
  <si>
    <t>Invalid</t>
  </si>
  <si>
    <t>Required, Empty</t>
  </si>
  <si>
    <t>Valid</t>
  </si>
  <si>
    <t>FIELD_STATUS_DESCRIPTION</t>
  </si>
  <si>
    <t>i</t>
  </si>
  <si>
    <t>FIELD_STATUS_ICON_FONT</t>
  </si>
  <si>
    <t>FIELD_STATUS_COMMENT</t>
  </si>
  <si>
    <t>Required</t>
  </si>
  <si>
    <t>Invalid Value</t>
  </si>
  <si>
    <t>OK</t>
  </si>
  <si>
    <t>Optional</t>
  </si>
  <si>
    <t>FIELD_EMPTY_FLAG</t>
  </si>
  <si>
    <t>FIELD_VALID_FLAG</t>
  </si>
  <si>
    <t>AHP_ROUND</t>
  </si>
  <si>
    <t>AHP Round</t>
  </si>
  <si>
    <t>APP_TYPE_DESC</t>
  </si>
  <si>
    <t>Application Type Description</t>
  </si>
  <si>
    <t>Date</t>
  </si>
  <si>
    <t>AHP_ROUND_DESC</t>
  </si>
  <si>
    <t>AHP Round Description</t>
  </si>
  <si>
    <t>PAGE_BANNER_TITLE</t>
  </si>
  <si>
    <t>LOOKUP_CODE</t>
  </si>
  <si>
    <t>LOOKUP_VALUE</t>
  </si>
  <si>
    <t>R</t>
  </si>
  <si>
    <t>Rental Project</t>
  </si>
  <si>
    <t>O</t>
  </si>
  <si>
    <t>Owner-Occupied Project</t>
  </si>
  <si>
    <t>SHEET_REF_CALC</t>
  </si>
  <si>
    <t>SHEET_REF_RENTAL</t>
  </si>
  <si>
    <t>SHEET_REF_OWNER</t>
  </si>
  <si>
    <t>WELCOME</t>
  </si>
  <si>
    <t>APP_TYPE_NUMERIC</t>
  </si>
  <si>
    <t>APPSTART_BUTTON_TEXT</t>
  </si>
  <si>
    <t>APPSTART_BUTTON_DEST</t>
  </si>
  <si>
    <t>WORKFLOW_START_R</t>
  </si>
  <si>
    <t>Rental App Workflow - Start Screen</t>
  </si>
  <si>
    <t>WORKFLOW_START_O</t>
  </si>
  <si>
    <t>Owner App Workflow - Start Screen</t>
  </si>
  <si>
    <t>PAGE_BANNER_PROJNAME</t>
  </si>
  <si>
    <t>PROJ_NAME</t>
  </si>
  <si>
    <t>Project Name</t>
  </si>
  <si>
    <t>Number</t>
  </si>
  <si>
    <t>FIELD_TYPE</t>
  </si>
  <si>
    <t>RentalApp</t>
  </si>
  <si>
    <t>OwnerApp</t>
  </si>
  <si>
    <t>$DB.CONFIG.TBL_CONFIG_FIELDSTATUSCODES::[F|J]</t>
  </si>
  <si>
    <t>TRIM_TEXT_FLAG</t>
  </si>
  <si>
    <t>RANGE_VALUE_LEN</t>
  </si>
  <si>
    <t>RANGE_VALIDATION_ON_FLAG</t>
  </si>
  <si>
    <t>RANGE_VALIDATION_MIN</t>
  </si>
  <si>
    <t>RANGE_VALIDATION_MAX</t>
  </si>
  <si>
    <t>RANGE_VALIDATION_PASSED_FLAG</t>
  </si>
  <si>
    <t>FIELD_VALID_CUSTOM_LOGIC</t>
  </si>
  <si>
    <t>Custom Logic - Field Specific</t>
  </si>
  <si>
    <t>Custom Logic + Validation</t>
  </si>
  <si>
    <t>PAGE_TITLE_RENTAL</t>
  </si>
  <si>
    <t>Rental App Page Title</t>
  </si>
  <si>
    <t>PAGE_TITLE_OWNER</t>
  </si>
  <si>
    <t>Owner-Occupied App Page Title</t>
  </si>
  <si>
    <t>PAGE_TITLE_WELCOME</t>
  </si>
  <si>
    <t>Welcome Screen Page Title</t>
  </si>
  <si>
    <t>Select Application Type</t>
  </si>
  <si>
    <t>Project Address - Street</t>
  </si>
  <si>
    <t>City</t>
  </si>
  <si>
    <t>State</t>
  </si>
  <si>
    <t>-</t>
  </si>
  <si>
    <t>Project Address - City</t>
  </si>
  <si>
    <t>Project Address - State</t>
  </si>
  <si>
    <t>Project Address - ZIP</t>
  </si>
  <si>
    <t>Project Address - Census Tract</t>
  </si>
  <si>
    <t xml:space="preserve"> </t>
  </si>
  <si>
    <t>NY</t>
  </si>
  <si>
    <t>CT</t>
  </si>
  <si>
    <t>WY</t>
  </si>
  <si>
    <t>WI</t>
  </si>
  <si>
    <t>WV</t>
  </si>
  <si>
    <t>WA</t>
  </si>
  <si>
    <t>VA</t>
  </si>
  <si>
    <t>VT</t>
  </si>
  <si>
    <t>UT</t>
  </si>
  <si>
    <t>TX</t>
  </si>
  <si>
    <t>TN</t>
  </si>
  <si>
    <t>SD</t>
  </si>
  <si>
    <t>SC</t>
  </si>
  <si>
    <t>RI</t>
  </si>
  <si>
    <t>PR</t>
  </si>
  <si>
    <t>PA</t>
  </si>
  <si>
    <t>OR</t>
  </si>
  <si>
    <t>OH</t>
  </si>
  <si>
    <t>ND</t>
  </si>
  <si>
    <t>NC</t>
  </si>
  <si>
    <t>NM</t>
  </si>
  <si>
    <t>NJ</t>
  </si>
  <si>
    <t>NH</t>
  </si>
  <si>
    <t>NV</t>
  </si>
  <si>
    <t>NE</t>
  </si>
  <si>
    <t>MT</t>
  </si>
  <si>
    <t>MO</t>
  </si>
  <si>
    <t>MS</t>
  </si>
  <si>
    <t>MN</t>
  </si>
  <si>
    <t>MI</t>
  </si>
  <si>
    <t>MA</t>
  </si>
  <si>
    <t>MD</t>
  </si>
  <si>
    <t>ME</t>
  </si>
  <si>
    <t>LA</t>
  </si>
  <si>
    <t>KY</t>
  </si>
  <si>
    <t>KS</t>
  </si>
  <si>
    <t>IA</t>
  </si>
  <si>
    <t>IN</t>
  </si>
  <si>
    <t>IL</t>
  </si>
  <si>
    <t>ID</t>
  </si>
  <si>
    <t>HI</t>
  </si>
  <si>
    <t>GA</t>
  </si>
  <si>
    <t>FL</t>
  </si>
  <si>
    <t>DE</t>
  </si>
  <si>
    <t>CO</t>
  </si>
  <si>
    <t>CA</t>
  </si>
  <si>
    <t>AR</t>
  </si>
  <si>
    <t>AZ</t>
  </si>
  <si>
    <t>AK</t>
  </si>
  <si>
    <t>AL</t>
  </si>
  <si>
    <t>STATE_CODE</t>
  </si>
  <si>
    <t>$DB.LOOKUP.TBL_LOOKUP_APPTYPE::[A|B]</t>
  </si>
  <si>
    <t>$DB.LOOKUP.RANGE_LOOKUP_STATE::[D|D]</t>
  </si>
  <si>
    <t>County</t>
  </si>
  <si>
    <t>.</t>
  </si>
  <si>
    <t>RANGE_VALIDATION_FLAG</t>
  </si>
  <si>
    <t>Project Address - County</t>
  </si>
  <si>
    <t>Project Location</t>
  </si>
  <si>
    <t>APP_PROGRESS_DONE_COUNT</t>
  </si>
  <si>
    <t>APP_PROGRESS_TOTAL_COUNT</t>
  </si>
  <si>
    <t>APP_PROGRESS_ERROR_COUNT</t>
  </si>
  <si>
    <t>SECTION_1_DONE_COUNT</t>
  </si>
  <si>
    <t>SECTION_1_TOTAL_COUNT</t>
  </si>
  <si>
    <t>SECTION_1_ERROR_COUNT</t>
  </si>
  <si>
    <t>SECTION_1_PROGRESS_PERCENT</t>
  </si>
  <si>
    <t>SECTION_1_STATUS_TEXT</t>
  </si>
  <si>
    <t>SECTION_1_STATUS_CODE</t>
  </si>
  <si>
    <t>SECTION_1_RANGE</t>
  </si>
  <si>
    <t>SECTION_1</t>
  </si>
  <si>
    <t>SECTION_1_TOC_LABEL</t>
  </si>
  <si>
    <t>SECTION_2</t>
  </si>
  <si>
    <t>SECTION_2_RANGE</t>
  </si>
  <si>
    <t>SECTION_2_DONE_COUNT</t>
  </si>
  <si>
    <t>SECTION_2_TOTAL_COUNT</t>
  </si>
  <si>
    <t>SECTION_2_ERROR_COUNT</t>
  </si>
  <si>
    <t>SECTION_2_PROGRESS_PERCENT</t>
  </si>
  <si>
    <t>SECTION_2_STATUS_TEXT</t>
  </si>
  <si>
    <t>SECTION_2_STATUS_CODE</t>
  </si>
  <si>
    <t>SECTION_2_TOC_LABEL</t>
  </si>
  <si>
    <t>Member Name</t>
  </si>
  <si>
    <t>May Be Calculated Value</t>
  </si>
  <si>
    <t>Rental, Owner or Other</t>
  </si>
  <si>
    <t>Application Unique ID (for Import Purposes)</t>
  </si>
  <si>
    <t>$DB.CONFIG.TBL_CONFIG_APP::[A|D]</t>
  </si>
  <si>
    <t>PROJ_ID</t>
  </si>
  <si>
    <t>PROJ_ADDRESS</t>
  </si>
  <si>
    <t>PROJ_CITY</t>
  </si>
  <si>
    <t>PROJ_STATE</t>
  </si>
  <si>
    <t>PROJ_ZIP_CODE</t>
  </si>
  <si>
    <t>PROJ_COUNTY</t>
  </si>
  <si>
    <t>PROJ_CENSUS_TRACT_ID</t>
  </si>
  <si>
    <t>APP_COMPLETE_FLAG</t>
  </si>
  <si>
    <t>Appliation Complete Flag</t>
  </si>
  <si>
    <t>Sponsor Contact - Full Name</t>
  </si>
  <si>
    <t>Sponsor Contact - Title</t>
  </si>
  <si>
    <t>Sponsor Contact - Telephone Number</t>
  </si>
  <si>
    <t>Sponsor Contact - Street Address</t>
  </si>
  <si>
    <t>Sponsor Contact - City</t>
  </si>
  <si>
    <t>Sponsor Contact - State</t>
  </si>
  <si>
    <t>Sponsor Contact - Zip Code</t>
  </si>
  <si>
    <t>Sponsor Contact - Email Address</t>
  </si>
  <si>
    <t>SPONS_NAME</t>
  </si>
  <si>
    <t>SPONS_CONTACT_PHONE_NO</t>
  </si>
  <si>
    <t>SPONS_CONTACT_FULLNAME</t>
  </si>
  <si>
    <t>SPONS_CONTACT_TITLE</t>
  </si>
  <si>
    <t>SPONS_CONTACT_ADDRESS</t>
  </si>
  <si>
    <t>SPONS_CONTACT_CITY</t>
  </si>
  <si>
    <t>SPONS_CONTACT_STATE</t>
  </si>
  <si>
    <t>SPONS_CONTACT_ZIP_CODE</t>
  </si>
  <si>
    <t>SPONS_CONTACT_EMAIL_ADDR</t>
  </si>
  <si>
    <t>Sponsor Name</t>
  </si>
  <si>
    <t>FIELD_EXPORT_FLAG</t>
  </si>
  <si>
    <t>EFORM_REVISION_DATE</t>
  </si>
  <si>
    <t>Last eForm Revision Date</t>
  </si>
  <si>
    <t>Application Progress - Error Count</t>
  </si>
  <si>
    <t>Application Progress - % Complete</t>
  </si>
  <si>
    <t>APP_PROGRESS_PCT_COMPLETE</t>
  </si>
  <si>
    <t>Y/N</t>
  </si>
  <si>
    <t>SUBSIDY_MAX_TOTAL</t>
  </si>
  <si>
    <t>Maximum Subsidy Total</t>
  </si>
  <si>
    <t>DIR_SUB_AMT</t>
  </si>
  <si>
    <t>Subsidy - Direct Subsidy Request</t>
  </si>
  <si>
    <t>ADV_AMT</t>
  </si>
  <si>
    <t>ADV_RATE</t>
  </si>
  <si>
    <t>N/A</t>
  </si>
  <si>
    <t>DEVELOPER_COMMENTS</t>
  </si>
  <si>
    <t>VI</t>
  </si>
  <si>
    <t>Title</t>
  </si>
  <si>
    <t>Address</t>
  </si>
  <si>
    <t>SECTION_3</t>
  </si>
  <si>
    <t>SECTION_3_RANGE</t>
  </si>
  <si>
    <t>SECTION_3_DONE_COUNT</t>
  </si>
  <si>
    <t>SECTION_3_TOTAL_COUNT</t>
  </si>
  <si>
    <t>SECTION_3_ERROR_COUNT</t>
  </si>
  <si>
    <t>SECTION_3_PROGRESS_PERCENT</t>
  </si>
  <si>
    <t>SECTION_3_STATUS_TEXT</t>
  </si>
  <si>
    <t>SECTION_3_STATUS_CODE</t>
  </si>
  <si>
    <t>SECTION_3_TOC_LABEL</t>
  </si>
  <si>
    <t>PCT_CALC_FIELD_STATUS_CODE</t>
  </si>
  <si>
    <t>PCT_CALC_SHOW_STATUS_CODE</t>
  </si>
  <si>
    <t>SECTION_4</t>
  </si>
  <si>
    <t>SECTION_4_RANGE</t>
  </si>
  <si>
    <t>SECTION_4_DONE_COUNT</t>
  </si>
  <si>
    <t>SECTION_4_TOTAL_COUNT</t>
  </si>
  <si>
    <t>SECTION_4_ERROR_COUNT</t>
  </si>
  <si>
    <t>SECTION_4_PROGRESS_PERCENT</t>
  </si>
  <si>
    <t>SECTION_4_STATUS_TEXT</t>
  </si>
  <si>
    <t>SECTION_4_STATUS_CODE</t>
  </si>
  <si>
    <t>SECTION_4_TOC_LABEL</t>
  </si>
  <si>
    <t>$DB.DATA.TBL_DATA::[A|AB]</t>
  </si>
  <si>
    <t>{0=No Status; 1=All Status;2=Error Only;}</t>
  </si>
  <si>
    <t>Application Progress - # Total Fields (OK, Req. + Error)</t>
  </si>
  <si>
    <t>Application Progress - # Fields Completed (OK Only)</t>
  </si>
  <si>
    <t>SECTION_5</t>
  </si>
  <si>
    <t>Not Used in UI; PCT_CALC version used instead</t>
  </si>
  <si>
    <t>SECTION_5_RANGE</t>
  </si>
  <si>
    <t>SECTION_5_DONE_COUNT</t>
  </si>
  <si>
    <t>SECTION_5_TOTAL_COUNT</t>
  </si>
  <si>
    <t>SECTION_5_ERROR_COUNT</t>
  </si>
  <si>
    <t>SECTION_5_PROGRESS_PERCENT</t>
  </si>
  <si>
    <t>SECTION_5_STATUS_TEXT</t>
  </si>
  <si>
    <t>SECTION_5_STATUS_CODE</t>
  </si>
  <si>
    <t>SECTION_5_TOC_LABEL</t>
  </si>
  <si>
    <t>ERROR_MESSAGE</t>
  </si>
  <si>
    <t>TARGET_RENTAL_TOP</t>
  </si>
  <si>
    <t>TARGET_OWNER_TOP</t>
  </si>
  <si>
    <t>VMIN</t>
  </si>
  <si>
    <t>VMAX</t>
  </si>
  <si>
    <t>STATUS CODE</t>
  </si>
  <si>
    <t>ERR MESSAGE</t>
  </si>
  <si>
    <t>CELL STATUS CODE</t>
  </si>
  <si>
    <t>FIELD VALUE</t>
  </si>
  <si>
    <t>FIELD ID</t>
  </si>
  <si>
    <t>SECTION_6_RANGE</t>
  </si>
  <si>
    <t>SECTION_6_DONE_COUNT</t>
  </si>
  <si>
    <t>SECTION_6_TOTAL_COUNT</t>
  </si>
  <si>
    <t>SECTION_6_ERROR_COUNT</t>
  </si>
  <si>
    <t>SECTION_6_PROGRESS_PERCENT</t>
  </si>
  <si>
    <t>SECTION_6_STATUS_TEXT</t>
  </si>
  <si>
    <t>SECTION_6_STATUS_CODE</t>
  </si>
  <si>
    <t>SECTION_6_TOC_LABEL</t>
  </si>
  <si>
    <t>SECTION_6</t>
  </si>
  <si>
    <t>Project Type</t>
  </si>
  <si>
    <t>Yes</t>
  </si>
  <si>
    <t>SECTION_7</t>
  </si>
  <si>
    <t>SECTION_7_RANGE</t>
  </si>
  <si>
    <t>SECTION_7_DONE_COUNT</t>
  </si>
  <si>
    <t>SECTION_7_TOTAL_COUNT</t>
  </si>
  <si>
    <t>SECTION_7_ERROR_COUNT</t>
  </si>
  <si>
    <t>SECTION_7_PROGRESS_PERCENT</t>
  </si>
  <si>
    <t>SECTION_7_STATUS_TEXT</t>
  </si>
  <si>
    <t>SECTION_7_STATUS_CODE</t>
  </si>
  <si>
    <t>SECTION_7_TOC_LABEL</t>
  </si>
  <si>
    <t>No</t>
  </si>
  <si>
    <t>$DB.LOOKUP.RANGE_LOOKUP_YESNO</t>
  </si>
  <si>
    <t>Subsidy Request</t>
  </si>
  <si>
    <t>SECTION_8</t>
  </si>
  <si>
    <t>SECTION_8_RANGE</t>
  </si>
  <si>
    <t>SECTION_8_DONE_COUNT</t>
  </si>
  <si>
    <t>SECTION_8_TOTAL_COUNT</t>
  </si>
  <si>
    <t>SECTION_8_ERROR_COUNT</t>
  </si>
  <si>
    <t>SECTION_8_PROGRESS_PERCENT</t>
  </si>
  <si>
    <t>SECTION_8_STATUS_TEXT</t>
  </si>
  <si>
    <t>SECTION_8_STATUS_CODE</t>
  </si>
  <si>
    <t>SECTION_8_TOC_LABEL</t>
  </si>
  <si>
    <t>SECTION_9</t>
  </si>
  <si>
    <t>SECTION_9_RANGE</t>
  </si>
  <si>
    <t>SECTION_9_DONE_COUNT</t>
  </si>
  <si>
    <t>SECTION_9_TOTAL_COUNT</t>
  </si>
  <si>
    <t>SECTION_9_ERROR_COUNT</t>
  </si>
  <si>
    <t>SECTION_9_PROGRESS_PERCENT</t>
  </si>
  <si>
    <t>SECTION_9_STATUS_TEXT</t>
  </si>
  <si>
    <t>SECTION_9_STATUS_CODE</t>
  </si>
  <si>
    <t>SECTION_9_TOC_LABEL</t>
  </si>
  <si>
    <t>SECTION_10</t>
  </si>
  <si>
    <t>SECTION_10_RANGE</t>
  </si>
  <si>
    <t>SECTION_10_DONE_COUNT</t>
  </si>
  <si>
    <t>SECTION_10_TOTAL_COUNT</t>
  </si>
  <si>
    <t>SECTION_10_ERROR_COUNT</t>
  </si>
  <si>
    <t>SECTION_10_PROGRESS_PERCENT</t>
  </si>
  <si>
    <t>SECTION_10_STATUS_TEXT</t>
  </si>
  <si>
    <t>SECTION_10_STATUS_CODE</t>
  </si>
  <si>
    <t>SECTION_10_TOC_LABEL</t>
  </si>
  <si>
    <t>APP_TYPE_LABEL_TEXT</t>
  </si>
  <si>
    <t>$DB.LOOKUP.RANGE_LOOKUP_YESNONA</t>
  </si>
  <si>
    <t>SECTION_11</t>
  </si>
  <si>
    <t>SECTION_11_RANGE</t>
  </si>
  <si>
    <t>SECTION_11_DONE_COUNT</t>
  </si>
  <si>
    <t>SECTION_11_TOTAL_COUNT</t>
  </si>
  <si>
    <t>SECTION_11_ERROR_COUNT</t>
  </si>
  <si>
    <t>SECTION_11_PROGRESS_PERCENT</t>
  </si>
  <si>
    <t>SECTION_11_STATUS_TEXT</t>
  </si>
  <si>
    <t>SECTION_11_STATUS_CODE</t>
  </si>
  <si>
    <t>SECTION_11_TOC_LABEL</t>
  </si>
  <si>
    <t>Number of Units</t>
  </si>
  <si>
    <t>$DB.LOOKUP.RANGE_LOOKUP_SPONSTYPE</t>
  </si>
  <si>
    <t>State or Political Subdivision of a State</t>
  </si>
  <si>
    <t>State Housing Agency</t>
  </si>
  <si>
    <t>Local Housing Authority</t>
  </si>
  <si>
    <t>Native American Tribe</t>
  </si>
  <si>
    <t>SECTION_12</t>
  </si>
  <si>
    <t>SECTION_12_RANGE</t>
  </si>
  <si>
    <t>SECTION_12_DONE_COUNT</t>
  </si>
  <si>
    <t>SECTION_12_TOTAL_COUNT</t>
  </si>
  <si>
    <t>SECTION_12_ERROR_COUNT</t>
  </si>
  <si>
    <t>SECTION_12_PROGRESS_PERCENT</t>
  </si>
  <si>
    <t>SECTION_12_STATUS_TEXT</t>
  </si>
  <si>
    <t>SECTION_12_STATUS_CODE</t>
  </si>
  <si>
    <t>SECTION_12_TOC_LABEL</t>
  </si>
  <si>
    <t>SECTION_13</t>
  </si>
  <si>
    <t>SECTION_13_RANGE</t>
  </si>
  <si>
    <t>SECTION_13_DONE_COUNT</t>
  </si>
  <si>
    <t>SECTION_13_TOTAL_COUNT</t>
  </si>
  <si>
    <t>SECTION_13_ERROR_COUNT</t>
  </si>
  <si>
    <t>SECTION_13_PROGRESS_PERCENT</t>
  </si>
  <si>
    <t>SECTION_13_STATUS_TEXT</t>
  </si>
  <si>
    <t>SECTION_13_STATUS_CODE</t>
  </si>
  <si>
    <t>SECTION_13_TOC_LABEL</t>
  </si>
  <si>
    <t>Table of Contents</t>
  </si>
  <si>
    <t>SECTION_15</t>
  </si>
  <si>
    <t>SECTION_15_RANGE</t>
  </si>
  <si>
    <t>SECTION_15_DONE_COUNT</t>
  </si>
  <si>
    <t>SECTION_15_TOTAL_COUNT</t>
  </si>
  <si>
    <t>SECTION_15_ERROR_COUNT</t>
  </si>
  <si>
    <t>SECTION_15_PROGRESS_PERCENT</t>
  </si>
  <si>
    <t>SECTION_15_STATUS_TEXT</t>
  </si>
  <si>
    <t>SECTION_15_STATUS_CODE</t>
  </si>
  <si>
    <t>SECTION_15_TOC_LABEL</t>
  </si>
  <si>
    <t>SECTION_14</t>
  </si>
  <si>
    <t>SECTION_14_RANGE</t>
  </si>
  <si>
    <t>SECTION_14_DONE_COUNT</t>
  </si>
  <si>
    <t>SECTION_14_TOTAL_COUNT</t>
  </si>
  <si>
    <t>SECTION_14_ERROR_COUNT</t>
  </si>
  <si>
    <t>SECTION_14_PROGRESS_PERCENT</t>
  </si>
  <si>
    <t>SECTION_14_STATUS_TEXT</t>
  </si>
  <si>
    <t>SECTION_14_STATUS_CODE</t>
  </si>
  <si>
    <t>SECTION_14_TOC_LABEL</t>
  </si>
  <si>
    <t>EFORM_VERSION_NO</t>
  </si>
  <si>
    <t>eForm Version # (for reference)</t>
  </si>
  <si>
    <t>VERSION_DISPLAY</t>
  </si>
  <si>
    <t>AHP Round ID</t>
  </si>
  <si>
    <t>AHP Total Subsidy Request Limit for Round</t>
  </si>
  <si>
    <t>Round Maintenance &amp; Application Settings</t>
  </si>
  <si>
    <t>$DB.LOOKUP.RANGE_LOOKUP_COUNTY</t>
  </si>
  <si>
    <t>COUNTY_CODE</t>
  </si>
  <si>
    <t>Autauga</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</si>
  <si>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</si>
  <si>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</si>
  <si>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</si>
  <si>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</si>
  <si>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</si>
  <si>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</si>
  <si>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</si>
  <si>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</si>
  <si>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</si>
  <si>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</si>
  <si>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</si>
  <si>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</si>
  <si>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</si>
  <si>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</si>
  <si>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</si>
  <si>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</si>
  <si>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</si>
  <si>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</si>
  <si>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</si>
  <si>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</si>
  <si>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</si>
  <si>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</si>
  <si>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</si>
  <si>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</si>
  <si>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</si>
  <si>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</si>
  <si>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</si>
  <si>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</si>
  <si>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</si>
  <si>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</si>
  <si>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</si>
  <si>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</si>
  <si>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</si>
  <si>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</si>
  <si>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</si>
  <si>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</si>
  <si>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</si>
  <si>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</si>
  <si>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</si>
  <si>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</si>
  <si>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</si>
  <si>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</si>
  <si>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</si>
  <si>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</si>
  <si>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</si>
  <si>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</si>
  <si>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</si>
  <si>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</si>
  <si>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</si>
  <si>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</si>
  <si>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</si>
  <si>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</si>
  <si>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</si>
  <si>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</si>
  <si>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</si>
  <si>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</si>
  <si>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St. Clair</t>
  </si>
  <si>
    <t>Shelby</t>
  </si>
  <si>
    <t>Sumter</t>
  </si>
  <si>
    <t>Talladega</t>
  </si>
  <si>
    <t>Tallapoosa</t>
  </si>
  <si>
    <t>Tuscaloosa</t>
  </si>
  <si>
    <t>Walker</t>
  </si>
  <si>
    <t>Washington</t>
  </si>
  <si>
    <t>Wilcox</t>
  </si>
  <si>
    <t>Winston</t>
  </si>
  <si>
    <t>Aleutians East Borough</t>
  </si>
  <si>
    <t>Aleutians West Census Area</t>
  </si>
  <si>
    <t>Anchorage Borough</t>
  </si>
  <si>
    <t>Bethel Census Area</t>
  </si>
  <si>
    <t>Bristol Bay Borough</t>
  </si>
  <si>
    <t>Dillingham Census Area</t>
  </si>
  <si>
    <t>Fairbanks North Star Borough</t>
  </si>
  <si>
    <t>Haines Borough</t>
  </si>
  <si>
    <t>Juneau Borough</t>
  </si>
  <si>
    <t>Kenai Peninsula Borough</t>
  </si>
  <si>
    <t>Ketchikan Gateway Borough</t>
  </si>
  <si>
    <t>Kodiak Island Borough</t>
  </si>
  <si>
    <t>Lake and Peninsula Borough</t>
  </si>
  <si>
    <t>Matanuska-Susitna Borough</t>
  </si>
  <si>
    <t>Nome Census Area</t>
  </si>
  <si>
    <t>North Slope Borough</t>
  </si>
  <si>
    <t>Northwest Arctic Borough</t>
  </si>
  <si>
    <t>Prince of Wales-Outer Ketchikan Census</t>
  </si>
  <si>
    <t>Sitka Borough</t>
  </si>
  <si>
    <t>Skagway-Yakutat-Angoon Census Area</t>
  </si>
  <si>
    <t>Southeast Fairbanks Census Area</t>
  </si>
  <si>
    <t>Valdez-Cordova Census Area</t>
  </si>
  <si>
    <t>Wade Hampton Census Area</t>
  </si>
  <si>
    <t>Wrangell-Petersburg Census Area</t>
  </si>
  <si>
    <t>Yukon-Koyukuk Census Area</t>
  </si>
  <si>
    <t>Apache</t>
  </si>
  <si>
    <t>Cochise</t>
  </si>
  <si>
    <t>Coconino</t>
  </si>
  <si>
    <t>Gila</t>
  </si>
  <si>
    <t>Graham</t>
  </si>
  <si>
    <t>Greenlee</t>
  </si>
  <si>
    <t>La Paz</t>
  </si>
  <si>
    <t>Maricopa</t>
  </si>
  <si>
    <t>Mohave</t>
  </si>
  <si>
    <t>Navajo</t>
  </si>
  <si>
    <t>Pima</t>
  </si>
  <si>
    <t>Pinal</t>
  </si>
  <si>
    <t>Santa Cruz</t>
  </si>
  <si>
    <t>Yavapai</t>
  </si>
  <si>
    <t>Yuma</t>
  </si>
  <si>
    <t>Arkansas</t>
  </si>
  <si>
    <t>Ashley</t>
  </si>
  <si>
    <t>Baxter</t>
  </si>
  <si>
    <t>Benton</t>
  </si>
  <si>
    <t>Boone</t>
  </si>
  <si>
    <t>Bradley</t>
  </si>
  <si>
    <t>Carroll</t>
  </si>
  <si>
    <t>Chicot</t>
  </si>
  <si>
    <t>Clark</t>
  </si>
  <si>
    <t>Cleveland</t>
  </si>
  <si>
    <t>Columbia</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</si>
  <si>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</si>
  <si>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</si>
  <si>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</si>
  <si>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</si>
  <si>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</si>
  <si>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</si>
  <si>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</si>
  <si>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</si>
  <si>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</si>
  <si>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</si>
  <si>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</si>
  <si>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</si>
  <si>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</si>
  <si>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</si>
  <si>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</si>
  <si>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</si>
  <si>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</si>
  <si>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</si>
  <si>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</si>
  <si>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</si>
  <si>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</si>
  <si>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</si>
  <si>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</si>
  <si>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Mississippi</t>
  </si>
  <si>
    <t>Nevada</t>
  </si>
  <si>
    <t>Newton</t>
  </si>
  <si>
    <t>Ouachita</t>
  </si>
  <si>
    <t>Phillips</t>
  </si>
  <si>
    <t>Poinsett</t>
  </si>
  <si>
    <t>Polk</t>
  </si>
  <si>
    <t>Pope</t>
  </si>
  <si>
    <t>Prairie</t>
  </si>
  <si>
    <t>Pulaski</t>
  </si>
  <si>
    <t>St. Francis</t>
  </si>
  <si>
    <t>Saline</t>
  </si>
  <si>
    <t>Scott</t>
  </si>
  <si>
    <t>Searcy</t>
  </si>
  <si>
    <t>Sebastian</t>
  </si>
  <si>
    <t>Sevier</t>
  </si>
  <si>
    <t>Sharp</t>
  </si>
  <si>
    <t>Stone</t>
  </si>
  <si>
    <t>Union</t>
  </si>
  <si>
    <t>Van Buren</t>
  </si>
  <si>
    <t>White</t>
  </si>
  <si>
    <t>Woodruff</t>
  </si>
  <si>
    <t>Yell</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</si>
  <si>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</si>
  <si>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</si>
  <si>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</si>
  <si>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</si>
  <si>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</si>
  <si>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</si>
  <si>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</si>
  <si>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</si>
  <si>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</si>
  <si>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</si>
  <si>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</si>
  <si>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</si>
  <si>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</si>
  <si>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</si>
  <si>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</si>
  <si>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</si>
  <si>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</si>
  <si>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</si>
  <si>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</si>
  <si>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</si>
  <si>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</si>
  <si>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</si>
  <si>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</si>
  <si>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</si>
  <si>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</si>
  <si>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</si>
  <si>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</si>
  <si>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</si>
  <si>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</si>
  <si>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</si>
  <si>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</si>
  <si>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</si>
  <si>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</si>
  <si>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</si>
  <si>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</si>
  <si>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</si>
  <si>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</si>
  <si>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</si>
  <si>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</si>
  <si>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</si>
  <si>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</si>
  <si>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</si>
  <si>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</si>
  <si>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</si>
  <si>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</si>
  <si>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</si>
  <si>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</si>
  <si>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</si>
  <si>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</si>
  <si>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</si>
  <si>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</si>
  <si>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</si>
  <si>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</si>
  <si>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</si>
  <si>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</si>
  <si>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</si>
  <si>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</si>
  <si>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Alamosa</t>
  </si>
  <si>
    <t>Arapahoe</t>
  </si>
  <si>
    <t>Archuleta</t>
  </si>
  <si>
    <t>Baca</t>
  </si>
  <si>
    <t>Bent</t>
  </si>
  <si>
    <t>Boulder</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</si>
  <si>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</si>
  <si>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</si>
  <si>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</si>
  <si>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</si>
  <si>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</si>
  <si>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</si>
  <si>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</si>
  <si>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</si>
  <si>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</si>
  <si>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</si>
  <si>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</si>
  <si>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</si>
  <si>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</si>
  <si>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</si>
  <si>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</si>
  <si>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</si>
  <si>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</si>
  <si>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</si>
  <si>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</si>
  <si>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</si>
  <si>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</si>
  <si>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</si>
  <si>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</si>
  <si>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</si>
  <si>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</si>
  <si>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</si>
  <si>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</si>
  <si>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</si>
  <si>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</si>
  <si>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</si>
  <si>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</si>
  <si>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</si>
  <si>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</si>
  <si>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</si>
  <si>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Pitkin</t>
  </si>
  <si>
    <t>Prowers</t>
  </si>
  <si>
    <t>Pueblo</t>
  </si>
  <si>
    <t>Rio Blanco</t>
  </si>
  <si>
    <t>Rio Grande</t>
  </si>
  <si>
    <t>Routt</t>
  </si>
  <si>
    <t>Saguache</t>
  </si>
  <si>
    <t>San Juan</t>
  </si>
  <si>
    <t>San Miguel</t>
  </si>
  <si>
    <t>Sedgwick</t>
  </si>
  <si>
    <t>Summit</t>
  </si>
  <si>
    <t>Teller</t>
  </si>
  <si>
    <t>Weld</t>
  </si>
  <si>
    <t>Fairfield</t>
  </si>
  <si>
    <t>Hartford</t>
  </si>
  <si>
    <t>Litchfield</t>
  </si>
  <si>
    <t>Middlesex</t>
  </si>
  <si>
    <t>New Haven</t>
  </si>
  <si>
    <t>New London</t>
  </si>
  <si>
    <t>Tolland</t>
  </si>
  <si>
    <t>Windham</t>
  </si>
  <si>
    <t>Kent</t>
  </si>
  <si>
    <t>New Castle</t>
  </si>
  <si>
    <t>Sussex</t>
  </si>
  <si>
    <t>District of Columbia</t>
  </si>
  <si>
    <t>DC</t>
  </si>
  <si>
    <t>Alachua</t>
  </si>
  <si>
    <t>Baker</t>
  </si>
  <si>
    <t>Bay</t>
  </si>
  <si>
    <t>Bradford</t>
  </si>
  <si>
    <t>Brevard</t>
  </si>
  <si>
    <t>Broward</t>
  </si>
  <si>
    <t>Charlotte</t>
  </si>
  <si>
    <t>Citrus</t>
  </si>
  <si>
    <t>Collier</t>
  </si>
  <si>
    <t>Dade</t>
  </si>
  <si>
    <t>DeSoto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</si>
  <si>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</si>
  <si>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</si>
  <si>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</si>
  <si>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</si>
  <si>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</si>
  <si>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</si>
  <si>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</si>
  <si>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</si>
  <si>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</si>
  <si>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</si>
  <si>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</si>
  <si>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</si>
  <si>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</si>
  <si>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</si>
  <si>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</si>
  <si>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</si>
  <si>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</si>
  <si>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</si>
  <si>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</si>
  <si>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</si>
  <si>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Nassau</t>
  </si>
  <si>
    <t>Okaloosa</t>
  </si>
  <si>
    <t>Okeechobee</t>
  </si>
  <si>
    <t>Osceola</t>
  </si>
  <si>
    <t>Palm Beach</t>
  </si>
  <si>
    <t>Pasco</t>
  </si>
  <si>
    <t>Pinellas</t>
  </si>
  <si>
    <t>Putnam</t>
  </si>
  <si>
    <t>St. Johns</t>
  </si>
  <si>
    <t>St. Lucie</t>
  </si>
  <si>
    <t>Santa Rosa</t>
  </si>
  <si>
    <t>Sarasota</t>
  </si>
  <si>
    <t>Seminole</t>
  </si>
  <si>
    <t>Suwannee</t>
  </si>
  <si>
    <t>Taylor</t>
  </si>
  <si>
    <t>Volusia</t>
  </si>
  <si>
    <t>Wakulla</t>
  </si>
  <si>
    <t>Walton</t>
  </si>
  <si>
    <t>Appling</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</si>
  <si>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</si>
  <si>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</si>
  <si>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</si>
  <si>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</si>
  <si>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</si>
  <si>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</si>
  <si>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</si>
  <si>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</si>
  <si>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</si>
  <si>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</si>
  <si>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</si>
  <si>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</si>
  <si>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</si>
  <si>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</si>
  <si>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</si>
  <si>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</si>
  <si>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</si>
  <si>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</si>
  <si>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</si>
  <si>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</si>
  <si>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</si>
  <si>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</si>
  <si>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</si>
  <si>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</si>
  <si>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</si>
  <si>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</si>
  <si>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</si>
  <si>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</si>
  <si>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Dawson</t>
  </si>
  <si>
    <t>Decatur</t>
  </si>
  <si>
    <t>De Kalb</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</si>
  <si>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</si>
  <si>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</si>
  <si>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</si>
  <si>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</si>
  <si>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</si>
  <si>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</si>
  <si>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</si>
  <si>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</si>
  <si>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</si>
  <si>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</si>
  <si>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</si>
  <si>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</si>
  <si>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</si>
  <si>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</si>
  <si>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</si>
  <si>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</si>
  <si>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</si>
  <si>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</si>
  <si>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</si>
  <si>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</si>
  <si>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</si>
  <si>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</si>
  <si>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</si>
  <si>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</si>
  <si>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</si>
  <si>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</si>
  <si>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</si>
  <si>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</si>
  <si>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</si>
  <si>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</si>
  <si>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</si>
  <si>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</si>
  <si>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</si>
  <si>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</si>
  <si>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McIntosh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</si>
  <si>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</si>
  <si>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</si>
  <si>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</si>
  <si>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</si>
  <si>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</si>
  <si>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</si>
  <si>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</si>
  <si>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</si>
  <si>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</si>
  <si>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</si>
  <si>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</si>
  <si>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</si>
  <si>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</si>
  <si>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</si>
  <si>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</si>
  <si>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</si>
  <si>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</si>
  <si>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</si>
  <si>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</si>
  <si>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</si>
  <si>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</si>
  <si>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</si>
  <si>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</si>
  <si>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</si>
  <si>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</si>
  <si>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</si>
  <si>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</si>
  <si>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</si>
  <si>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</si>
  <si>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</si>
  <si>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</si>
  <si>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</si>
  <si>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</si>
  <si>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</si>
  <si>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</si>
  <si>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</si>
  <si>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</si>
  <si>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</si>
  <si>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</si>
  <si>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</si>
  <si>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</si>
  <si>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Hawaii</t>
  </si>
  <si>
    <t>Honolulu</t>
  </si>
  <si>
    <t>Kalawao</t>
  </si>
  <si>
    <t>Kauai</t>
  </si>
  <si>
    <t>Maui</t>
  </si>
  <si>
    <t>Ada</t>
  </si>
  <si>
    <t>Bannock</t>
  </si>
  <si>
    <t>Bear Lake</t>
  </si>
  <si>
    <t>Benewah</t>
  </si>
  <si>
    <t>Bingham</t>
  </si>
  <si>
    <t>Blaine</t>
  </si>
  <si>
    <t>Boise</t>
  </si>
  <si>
    <t>Bonner</t>
  </si>
  <si>
    <t>Bonneville</t>
  </si>
  <si>
    <t>Boundary</t>
  </si>
  <si>
    <t>Camas</t>
  </si>
  <si>
    <t>Canyon</t>
  </si>
  <si>
    <t>Caribou</t>
  </si>
  <si>
    <t>Cassia</t>
  </si>
  <si>
    <t>Clearwater</t>
  </si>
  <si>
    <t>Gem</t>
  </si>
  <si>
    <t>Gooding</t>
  </si>
  <si>
    <t>Idaho</t>
  </si>
  <si>
    <t>Jerome</t>
  </si>
  <si>
    <t>Kootenai</t>
  </si>
  <si>
    <t>Latah</t>
  </si>
  <si>
    <t>Lemhi</t>
  </si>
  <si>
    <t>Lewis</t>
  </si>
  <si>
    <t>Minidoka</t>
  </si>
  <si>
    <t>Nez Perce</t>
  </si>
  <si>
    <t>Oneida</t>
  </si>
  <si>
    <t>Owyhee</t>
  </si>
  <si>
    <t>Payette</t>
  </si>
  <si>
    <t>Power</t>
  </si>
  <si>
    <t>Shoshone</t>
  </si>
  <si>
    <t>Teton</t>
  </si>
  <si>
    <t>Twin Falls</t>
  </si>
  <si>
    <t>Valley</t>
  </si>
  <si>
    <t>Alexander</t>
  </si>
  <si>
    <t>Bond</t>
  </si>
  <si>
    <t>Brown</t>
  </si>
  <si>
    <t>Bureau</t>
  </si>
  <si>
    <t>Cass</t>
  </si>
  <si>
    <t>Champaign</t>
  </si>
  <si>
    <t>Christian</t>
  </si>
  <si>
    <t>Clinton</t>
  </si>
  <si>
    <t>Coles</t>
  </si>
  <si>
    <t>Cumberland</t>
  </si>
  <si>
    <t>De Witt</t>
  </si>
  <si>
    <t>Du Page</t>
  </si>
  <si>
    <t>Edgar</t>
  </si>
  <si>
    <t>Edwards</t>
  </si>
  <si>
    <t>Ford</t>
  </si>
  <si>
    <t>Gallatin</t>
  </si>
  <si>
    <t>Grundy</t>
  </si>
  <si>
    <t>Hardin</t>
  </si>
  <si>
    <t>Henderson</t>
  </si>
  <si>
    <t>Iroquois</t>
  </si>
  <si>
    <t>Jersey</t>
  </si>
  <si>
    <t>Jo Daviess</t>
  </si>
  <si>
    <t>Kane</t>
  </si>
  <si>
    <t>Kankakee</t>
  </si>
  <si>
    <t>Kendall</t>
  </si>
  <si>
    <t>Knox</t>
  </si>
  <si>
    <t>La Salle</t>
  </si>
  <si>
    <t>Livingston</t>
  </si>
  <si>
    <t>McDonough</t>
  </si>
  <si>
    <t>McHenry</t>
  </si>
  <si>
    <t>McLean</t>
  </si>
  <si>
    <t>Macoupin</t>
  </si>
  <si>
    <t>Mason</t>
  </si>
  <si>
    <t>Massac</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</si>
  <si>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</si>
  <si>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</si>
  <si>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</si>
  <si>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</si>
  <si>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</si>
  <si>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</si>
  <si>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</si>
  <si>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</si>
  <si>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</si>
  <si>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</si>
  <si>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</si>
  <si>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</si>
  <si>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</si>
  <si>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</si>
  <si>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</si>
  <si>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</si>
  <si>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</si>
  <si>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</si>
  <si>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</si>
  <si>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</si>
  <si>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Allen</t>
  </si>
  <si>
    <t>Bartholomew</t>
  </si>
  <si>
    <t>Blackford</t>
  </si>
  <si>
    <t>Daviess</t>
  </si>
  <si>
    <t>Dearborn</t>
  </si>
  <si>
    <t>Delaware</t>
  </si>
  <si>
    <t>Dubois</t>
  </si>
  <si>
    <t>Elkhart</t>
  </si>
  <si>
    <t>Fountain</t>
  </si>
  <si>
    <t>Gibson</t>
  </si>
  <si>
    <t>Harrison</t>
  </si>
  <si>
    <t>Hendricks</t>
  </si>
  <si>
    <t>Huntington</t>
  </si>
  <si>
    <t>Jay</t>
  </si>
  <si>
    <t>Jennings</t>
  </si>
  <si>
    <t>Kosciusko</t>
  </si>
  <si>
    <t>Lagrange</t>
  </si>
  <si>
    <t>La Porte</t>
  </si>
  <si>
    <t>Miami</t>
  </si>
  <si>
    <t>Noble</t>
  </si>
  <si>
    <t>Ohio</t>
  </si>
  <si>
    <t>Owen</t>
  </si>
  <si>
    <t>Parke</t>
  </si>
  <si>
    <t>Porter</t>
  </si>
  <si>
    <t>Posey</t>
  </si>
  <si>
    <t>Ripley</t>
  </si>
  <si>
    <t>Rush</t>
  </si>
  <si>
    <t>St. Joseph</t>
  </si>
  <si>
    <t>Spencer</t>
  </si>
  <si>
    <t>Starke</t>
  </si>
  <si>
    <t>Steuben</t>
  </si>
  <si>
    <t>Sullivan</t>
  </si>
  <si>
    <t>Switzerland</t>
  </si>
  <si>
    <t>Tippecanoe</t>
  </si>
  <si>
    <t>Tipton</t>
  </si>
  <si>
    <t>Vanderburgh</t>
  </si>
  <si>
    <t>Vermillion</t>
  </si>
  <si>
    <t>Vigo</t>
  </si>
  <si>
    <t>Warrick</t>
  </si>
  <si>
    <t>Wells</t>
  </si>
  <si>
    <t>Whitley</t>
  </si>
  <si>
    <t>Adair</t>
  </si>
  <si>
    <t>Allamakee</t>
  </si>
  <si>
    <t>Appanoose</t>
  </si>
  <si>
    <t>Audubon</t>
  </si>
  <si>
    <t>Black Hawk</t>
  </si>
  <si>
    <t>Bremer</t>
  </si>
  <si>
    <t>Buchanan</t>
  </si>
  <si>
    <t>Buena Vista</t>
  </si>
  <si>
    <t>Cedar</t>
  </si>
  <si>
    <t>Cerro Gordo</t>
  </si>
  <si>
    <t>Chickasaw</t>
  </si>
  <si>
    <t>Davis</t>
  </si>
  <si>
    <t>Des Moines</t>
  </si>
  <si>
    <t>Dickinson</t>
  </si>
  <si>
    <t>Dubuque</t>
  </si>
  <si>
    <t>Emmet</t>
  </si>
  <si>
    <t>Guthrie</t>
  </si>
  <si>
    <t>Ida</t>
  </si>
  <si>
    <t>Iowa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</si>
  <si>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</si>
  <si>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</si>
  <si>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</si>
  <si>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</si>
  <si>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</si>
  <si>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</si>
  <si>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</si>
  <si>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</si>
  <si>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</si>
  <si>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</si>
  <si>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</si>
  <si>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</si>
  <si>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</si>
  <si>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</si>
  <si>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</si>
  <si>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</si>
  <si>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</si>
  <si>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</si>
  <si>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</si>
  <si>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</si>
  <si>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</si>
  <si>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</si>
  <si>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</si>
  <si>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</si>
  <si>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</si>
  <si>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</si>
  <si>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</si>
  <si>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</si>
  <si>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</si>
  <si>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</si>
  <si>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</si>
  <si>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</si>
  <si>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</si>
  <si>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</si>
  <si>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</si>
  <si>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</si>
  <si>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</si>
  <si>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</si>
  <si>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</si>
  <si>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</si>
  <si>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</si>
  <si>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</si>
  <si>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</si>
  <si>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</si>
  <si>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</si>
  <si>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</si>
  <si>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</si>
  <si>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</si>
  <si>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</si>
  <si>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</si>
  <si>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</si>
  <si>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</si>
  <si>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</si>
  <si>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Kingman</t>
  </si>
  <si>
    <t>Labette</t>
  </si>
  <si>
    <t>Lane</t>
  </si>
  <si>
    <t>Leavenworth</t>
  </si>
  <si>
    <t>McPherson</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</si>
  <si>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</si>
  <si>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</si>
  <si>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</si>
  <si>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</si>
  <si>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</si>
  <si>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</si>
  <si>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</si>
  <si>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</si>
  <si>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</si>
  <si>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</si>
  <si>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</si>
  <si>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</si>
  <si>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</si>
  <si>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</si>
  <si>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</si>
  <si>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</si>
  <si>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</si>
  <si>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</si>
  <si>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</si>
  <si>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</si>
  <si>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</si>
  <si>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</si>
  <si>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</si>
  <si>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</si>
  <si>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</si>
  <si>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</si>
  <si>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</si>
  <si>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</si>
  <si>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</si>
  <si>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</si>
  <si>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</si>
  <si>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</si>
  <si>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</si>
  <si>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</si>
  <si>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</si>
  <si>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</si>
  <si>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</si>
  <si>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</si>
  <si>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</si>
  <si>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</si>
  <si>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</si>
  <si>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</si>
  <si>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</si>
  <si>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</si>
  <si>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</si>
  <si>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</si>
  <si>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</si>
  <si>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</si>
  <si>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</si>
  <si>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</si>
  <si>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</si>
  <si>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</si>
  <si>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</si>
  <si>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</si>
  <si>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</si>
  <si>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</si>
  <si>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</si>
  <si>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</si>
  <si>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</si>
  <si>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</si>
  <si>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</si>
  <si>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</si>
  <si>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</si>
  <si>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</si>
  <si>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</si>
  <si>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</si>
  <si>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</si>
  <si>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</si>
  <si>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</si>
  <si>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</si>
  <si>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McCracken</t>
  </si>
  <si>
    <t>McCreary</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</si>
  <si>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</si>
  <si>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</si>
  <si>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</si>
  <si>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</si>
  <si>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</si>
  <si>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</si>
  <si>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</si>
  <si>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</si>
  <si>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</si>
  <si>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</si>
  <si>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</si>
  <si>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</si>
  <si>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</si>
  <si>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</si>
  <si>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</si>
  <si>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</si>
  <si>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</si>
  <si>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</si>
  <si>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</si>
  <si>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</si>
  <si>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</si>
  <si>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</si>
  <si>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</si>
  <si>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</si>
  <si>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</si>
  <si>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</si>
  <si>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</si>
  <si>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</si>
  <si>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</si>
  <si>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</si>
  <si>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</si>
  <si>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</si>
  <si>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</si>
  <si>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 Soto Parish</t>
  </si>
  <si>
    <t>East Baton Rouge Parish</t>
  </si>
  <si>
    <t>East Carroll Parish</t>
  </si>
  <si>
    <t>East Feliciana Parish</t>
  </si>
  <si>
    <t>Evangeline Parish</t>
  </si>
  <si>
    <t>Franklin Parish</t>
  </si>
  <si>
    <t>Grant Parish</t>
  </si>
  <si>
    <t>Iberia Parish</t>
  </si>
  <si>
    <t>Iberville Parish</t>
  </si>
  <si>
    <t>Jackson Parish</t>
  </si>
  <si>
    <t>Jefferson Parish</t>
  </si>
  <si>
    <t>Jefferson Davis Parish</t>
  </si>
  <si>
    <t>Lafayette Parish</t>
  </si>
  <si>
    <t>Lafourche Parish</t>
  </si>
  <si>
    <t>La Salle Parish</t>
  </si>
  <si>
    <t>Lincoln Parish</t>
  </si>
  <si>
    <t>Livingston Parish</t>
  </si>
  <si>
    <t>Madison Parish</t>
  </si>
  <si>
    <t>Morehouse Parish</t>
  </si>
  <si>
    <t>Natchitoches Parish</t>
  </si>
  <si>
    <t>Orleans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</si>
  <si>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</si>
  <si>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</si>
  <si>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</si>
  <si>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</si>
  <si>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</si>
  <si>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</si>
  <si>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</si>
  <si>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</si>
  <si>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</si>
  <si>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</si>
  <si>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</si>
  <si>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</si>
  <si>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</si>
  <si>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</si>
  <si>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</si>
  <si>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</si>
  <si>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</si>
  <si>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</si>
  <si>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</si>
  <si>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</si>
  <si>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</si>
  <si>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</si>
  <si>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</si>
  <si>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</si>
  <si>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West Baton Rouge Parish</t>
  </si>
  <si>
    <t>West Carroll Parish</t>
  </si>
  <si>
    <t>West Feliciana Parish</t>
  </si>
  <si>
    <t>Winn Parish</t>
  </si>
  <si>
    <t>Androscoggin</t>
  </si>
  <si>
    <t>Aroostook</t>
  </si>
  <si>
    <t>Kennebec</t>
  </si>
  <si>
    <t>Oxford</t>
  </si>
  <si>
    <t>Penobscot</t>
  </si>
  <si>
    <t>Piscataquis</t>
  </si>
  <si>
    <t>Sagadahoc</t>
  </si>
  <si>
    <t>Somerset</t>
  </si>
  <si>
    <t>Waldo</t>
  </si>
  <si>
    <t>York</t>
  </si>
  <si>
    <t>Allegany</t>
  </si>
  <si>
    <t>Anne Arundel</t>
  </si>
  <si>
    <t>Baltimore</t>
  </si>
  <si>
    <t>Calvert</t>
  </si>
  <si>
    <t>Caroline</t>
  </si>
  <si>
    <t>Cecil</t>
  </si>
  <si>
    <t>Charles</t>
  </si>
  <si>
    <t>Dorchester</t>
  </si>
  <si>
    <t>Frederick</t>
  </si>
  <si>
    <t>Garrett</t>
  </si>
  <si>
    <t>Harford</t>
  </si>
  <si>
    <t>Prince George's</t>
  </si>
  <si>
    <t>Queen Anne's</t>
  </si>
  <si>
    <t>St. Mary's</t>
  </si>
  <si>
    <t>Wicomico</t>
  </si>
  <si>
    <t>Worcester</t>
  </si>
  <si>
    <t>Baltimore city</t>
  </si>
  <si>
    <t>Barnstable</t>
  </si>
  <si>
    <t>Berkshire</t>
  </si>
  <si>
    <t>Bristol</t>
  </si>
  <si>
    <t>Dukes</t>
  </si>
  <si>
    <t>Essex</t>
  </si>
  <si>
    <t>Hampden</t>
  </si>
  <si>
    <t>Hampshire</t>
  </si>
  <si>
    <t>Nantucket</t>
  </si>
  <si>
    <t>Norfolk</t>
  </si>
  <si>
    <t>Suffolk</t>
  </si>
  <si>
    <t>Alcona</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</si>
  <si>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</si>
  <si>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</si>
  <si>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</si>
  <si>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</si>
  <si>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</si>
  <si>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</si>
  <si>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</si>
  <si>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</si>
  <si>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</si>
  <si>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</si>
  <si>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</si>
  <si>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</si>
  <si>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</si>
  <si>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</si>
  <si>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</si>
  <si>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</si>
  <si>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</si>
  <si>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</si>
  <si>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</si>
  <si>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</si>
  <si>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</si>
  <si>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</si>
  <si>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</si>
  <si>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</si>
  <si>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</si>
  <si>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</si>
  <si>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</si>
  <si>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</si>
  <si>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</si>
  <si>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</si>
  <si>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</si>
  <si>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</si>
  <si>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</si>
  <si>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</si>
  <si>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</si>
  <si>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</si>
  <si>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</si>
  <si>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</si>
  <si>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</si>
  <si>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</si>
  <si>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</si>
  <si>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</si>
  <si>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</si>
  <si>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</si>
  <si>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</si>
  <si>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</si>
  <si>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</si>
  <si>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</si>
  <si>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</si>
  <si>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</si>
  <si>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</si>
  <si>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</si>
  <si>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</si>
  <si>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</si>
  <si>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</si>
  <si>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</si>
  <si>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</si>
  <si>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</si>
  <si>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</si>
  <si>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</si>
  <si>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</si>
  <si>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</si>
  <si>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</si>
  <si>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</si>
  <si>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</si>
  <si>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</si>
  <si>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</si>
  <si>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</si>
  <si>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</si>
  <si>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</si>
  <si>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</si>
  <si>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</si>
  <si>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</si>
  <si>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</si>
  <si>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</si>
  <si>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</si>
  <si>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</si>
  <si>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</si>
  <si>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</si>
  <si>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</si>
  <si>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</si>
  <si>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</si>
  <si>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</si>
  <si>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</si>
  <si>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</si>
  <si>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</si>
  <si>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the Woods</t>
  </si>
  <si>
    <t>Le Sueur</t>
  </si>
  <si>
    <t>McLeod</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</si>
  <si>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</si>
  <si>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</si>
  <si>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</si>
  <si>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</si>
  <si>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</si>
  <si>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</si>
  <si>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</si>
  <si>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</si>
  <si>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</si>
  <si>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</si>
  <si>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</si>
  <si>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</si>
  <si>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</si>
  <si>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</si>
  <si>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</si>
  <si>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</si>
  <si>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</si>
  <si>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</si>
  <si>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</si>
  <si>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St. Louis</t>
  </si>
  <si>
    <t>Sherburne</t>
  </si>
  <si>
    <t>Sibley</t>
  </si>
  <si>
    <t>Stearns</t>
  </si>
  <si>
    <t>Steele</t>
  </si>
  <si>
    <t>Swift</t>
  </si>
  <si>
    <t>Traverse</t>
  </si>
  <si>
    <t>Wabasha</t>
  </si>
  <si>
    <t>Wadena</t>
  </si>
  <si>
    <t>Waseca</t>
  </si>
  <si>
    <t>Watonwan</t>
  </si>
  <si>
    <t>Wilkin</t>
  </si>
  <si>
    <t>Winona</t>
  </si>
  <si>
    <t>Yellow Medicine</t>
  </si>
  <si>
    <t>Alcorn</t>
  </si>
  <si>
    <t>Amite</t>
  </si>
  <si>
    <t>Attala</t>
  </si>
  <si>
    <t>Bolivar</t>
  </si>
  <si>
    <t>Claiborne</t>
  </si>
  <si>
    <t>Coahoma</t>
  </si>
  <si>
    <t>Copiah</t>
  </si>
  <si>
    <t>De Soto</t>
  </si>
  <si>
    <t>Forrest</t>
  </si>
  <si>
    <t>George</t>
  </si>
  <si>
    <t>Grenada</t>
  </si>
  <si>
    <t>Hinds</t>
  </si>
  <si>
    <t>Humphreys</t>
  </si>
  <si>
    <t>Issaquena</t>
  </si>
  <si>
    <t>Itawamba</t>
  </si>
  <si>
    <t>Jefferson Davis</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</si>
  <si>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</si>
  <si>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</si>
  <si>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</si>
  <si>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</si>
  <si>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</si>
  <si>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</si>
  <si>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</si>
  <si>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</si>
  <si>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</si>
  <si>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</si>
  <si>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</si>
  <si>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</si>
  <si>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</si>
  <si>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</si>
  <si>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</si>
  <si>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</si>
  <si>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</si>
  <si>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</si>
  <si>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</si>
  <si>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</si>
  <si>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</si>
  <si>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</si>
  <si>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</si>
  <si>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</si>
  <si>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</si>
  <si>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</si>
  <si>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</si>
  <si>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</si>
  <si>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</si>
  <si>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</si>
  <si>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</si>
  <si>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</si>
  <si>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</si>
  <si>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</si>
  <si>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</si>
  <si>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</si>
  <si>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</si>
  <si>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</si>
  <si>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McDonald</t>
  </si>
  <si>
    <t>Maries</t>
  </si>
  <si>
    <t>Moniteau</t>
  </si>
  <si>
    <t>New Madrid</t>
  </si>
  <si>
    <t>Nodaway</t>
  </si>
  <si>
    <t>Oregon</t>
  </si>
  <si>
    <t>Ozark</t>
  </si>
  <si>
    <t>Pemiscot</t>
  </si>
  <si>
    <t>Pettis</t>
  </si>
  <si>
    <t>Phelps</t>
  </si>
  <si>
    <t>Platte</t>
  </si>
  <si>
    <t>Ralls</t>
  </si>
  <si>
    <t>Ray</t>
  </si>
  <si>
    <t>Reynolds</t>
  </si>
  <si>
    <t>St. Charles</t>
  </si>
  <si>
    <t>Ste. Genevieve</t>
  </si>
  <si>
    <t>St. Francois</t>
  </si>
  <si>
    <t>Scotland</t>
  </si>
  <si>
    <t>Shannon</t>
  </si>
  <si>
    <t>Stoddard</t>
  </si>
  <si>
    <t>Taney</t>
  </si>
  <si>
    <t>Texas</t>
  </si>
  <si>
    <t>Vernon</t>
  </si>
  <si>
    <t>St. Louis city</t>
  </si>
  <si>
    <t>Beaverhead</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</si>
  <si>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</si>
  <si>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</si>
  <si>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</si>
  <si>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</si>
  <si>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</si>
  <si>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</si>
  <si>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</si>
  <si>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</si>
  <si>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</si>
  <si>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</si>
  <si>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</si>
  <si>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</si>
  <si>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</si>
  <si>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</si>
  <si>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</si>
  <si>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</si>
  <si>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McCone</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</si>
  <si>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</si>
  <si>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</si>
  <si>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</si>
  <si>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</si>
  <si>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</si>
  <si>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</si>
  <si>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</si>
  <si>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</si>
  <si>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</si>
  <si>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</si>
  <si>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</si>
  <si>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</si>
  <si>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</si>
  <si>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</si>
  <si>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</si>
  <si>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</si>
  <si>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</si>
  <si>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</si>
  <si>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Yellowstone National Park</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</si>
  <si>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</si>
  <si>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</si>
  <si>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</si>
  <si>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</si>
  <si>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</si>
  <si>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</si>
  <si>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</si>
  <si>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</si>
  <si>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</si>
  <si>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</si>
  <si>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</si>
  <si>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</si>
  <si>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</si>
  <si>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</si>
  <si>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</si>
  <si>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</si>
  <si>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</si>
  <si>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</si>
  <si>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</si>
  <si>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</si>
  <si>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</si>
  <si>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</si>
  <si>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</si>
  <si>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</si>
  <si>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</si>
  <si>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</si>
  <si>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</si>
  <si>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</si>
  <si>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</si>
  <si>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</si>
  <si>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</si>
  <si>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</si>
  <si>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</si>
  <si>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</si>
  <si>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</si>
  <si>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</si>
  <si>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</si>
  <si>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</si>
  <si>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</si>
  <si>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</si>
  <si>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Churchill</t>
  </si>
  <si>
    <t>Elko</t>
  </si>
  <si>
    <t>Esmeralda</t>
  </si>
  <si>
    <t>Eureka</t>
  </si>
  <si>
    <t>Lander</t>
  </si>
  <si>
    <t>Nye</t>
  </si>
  <si>
    <t>Pershing</t>
  </si>
  <si>
    <t>Storey</t>
  </si>
  <si>
    <t>Washoe</t>
  </si>
  <si>
    <t>White Pine</t>
  </si>
  <si>
    <t>Carson City</t>
  </si>
  <si>
    <t>Belknap</t>
  </si>
  <si>
    <t>Cheshire</t>
  </si>
  <si>
    <t>Coos</t>
  </si>
  <si>
    <t>Grafton</t>
  </si>
  <si>
    <t>Merrimack</t>
  </si>
  <si>
    <t>Rockingham</t>
  </si>
  <si>
    <t>Strafford</t>
  </si>
  <si>
    <t>Atlantic</t>
  </si>
  <si>
    <t>Bergen</t>
  </si>
  <si>
    <t>Burlington</t>
  </si>
  <si>
    <t>Cape May</t>
  </si>
  <si>
    <t>Gloucester</t>
  </si>
  <si>
    <t>Hudson</t>
  </si>
  <si>
    <t>Hunterdon</t>
  </si>
  <si>
    <t>Monmouth</t>
  </si>
  <si>
    <t>Ocean</t>
  </si>
  <si>
    <t>Passaic</t>
  </si>
  <si>
    <t>Salem</t>
  </si>
  <si>
    <t>Bernalillo</t>
  </si>
  <si>
    <t>Catron</t>
  </si>
  <si>
    <t>Chaves</t>
  </si>
  <si>
    <t>Cibola</t>
  </si>
  <si>
    <t>Curry</t>
  </si>
  <si>
    <t>DeBaca</t>
  </si>
  <si>
    <t>Dona Ana</t>
  </si>
  <si>
    <t>Eddy</t>
  </si>
  <si>
    <t>Guadalupe</t>
  </si>
  <si>
    <t>Harding</t>
  </si>
  <si>
    <t>Hidalgo</t>
  </si>
  <si>
    <t>Lea</t>
  </si>
  <si>
    <t>Los Alamos</t>
  </si>
  <si>
    <t>Luna</t>
  </si>
  <si>
    <t>McKinley</t>
  </si>
  <si>
    <t>Mora</t>
  </si>
  <si>
    <t>Quay</t>
  </si>
  <si>
    <t>Rio Arriba</t>
  </si>
  <si>
    <t>Sandoval</t>
  </si>
  <si>
    <t>Santa Fe</t>
  </si>
  <si>
    <t>Socorro</t>
  </si>
  <si>
    <t>Taos</t>
  </si>
  <si>
    <t>Torrance</t>
  </si>
  <si>
    <t>Valencia</t>
  </si>
  <si>
    <t>Albany</t>
  </si>
  <si>
    <t>Bronx</t>
  </si>
  <si>
    <t>Broome</t>
  </si>
  <si>
    <t>Cattaraugus</t>
  </si>
  <si>
    <t>Cayuga</t>
  </si>
  <si>
    <t>Chemung</t>
  </si>
  <si>
    <t>Chenango</t>
  </si>
  <si>
    <t>Cortland</t>
  </si>
  <si>
    <t>Dutchess</t>
  </si>
  <si>
    <t>Erie</t>
  </si>
  <si>
    <t>Herkimer</t>
  </si>
  <si>
    <t>New York</t>
  </si>
  <si>
    <t>Niagara</t>
  </si>
  <si>
    <t>Onondaga</t>
  </si>
  <si>
    <t>Ontario</t>
  </si>
  <si>
    <t>Orleans</t>
  </si>
  <si>
    <t>Oswego</t>
  </si>
  <si>
    <t>Queens</t>
  </si>
  <si>
    <t>Rensselaer</t>
  </si>
  <si>
    <t>Rockland</t>
  </si>
  <si>
    <t>St. Lawrence</t>
  </si>
  <si>
    <t>Saratoga</t>
  </si>
  <si>
    <t>Schenectady</t>
  </si>
  <si>
    <t>Schoharie</t>
  </si>
  <si>
    <t>Seneca</t>
  </si>
  <si>
    <t>Tioga</t>
  </si>
  <si>
    <t>Tompkins</t>
  </si>
  <si>
    <t>Ulster</t>
  </si>
  <si>
    <t>Westchester</t>
  </si>
  <si>
    <t>Wyoming</t>
  </si>
  <si>
    <t>Yates</t>
  </si>
  <si>
    <t>Alamance</t>
  </si>
  <si>
    <t>Alleghany</t>
  </si>
  <si>
    <t>Anson</t>
  </si>
  <si>
    <t>Ashe</t>
  </si>
  <si>
    <t>Avery</t>
  </si>
  <si>
    <t>Beaufort</t>
  </si>
  <si>
    <t>Bertie</t>
  </si>
  <si>
    <t>Bladen</t>
  </si>
  <si>
    <t>Brunswick</t>
  </si>
  <si>
    <t>Buncombe</t>
  </si>
  <si>
    <t>Cabarrus</t>
  </si>
  <si>
    <t>Carteret</t>
  </si>
  <si>
    <t>Caswell</t>
  </si>
  <si>
    <t>Catawba</t>
  </si>
  <si>
    <t>Chowan</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</si>
  <si>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</si>
  <si>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</si>
  <si>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</si>
  <si>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</si>
  <si>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</si>
  <si>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</si>
  <si>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</si>
  <si>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</si>
  <si>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</si>
  <si>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</si>
  <si>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</si>
  <si>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</si>
  <si>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</si>
  <si>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</si>
  <si>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</si>
  <si>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</si>
  <si>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</si>
  <si>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</si>
  <si>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</si>
  <si>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</si>
  <si>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</si>
  <si>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</si>
  <si>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McDowell</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</si>
  <si>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</si>
  <si>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</si>
  <si>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</si>
  <si>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</si>
  <si>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</si>
  <si>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</si>
  <si>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</si>
  <si>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</si>
  <si>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</si>
  <si>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</si>
  <si>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</si>
  <si>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</si>
  <si>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</si>
  <si>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</si>
  <si>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</si>
  <si>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</si>
  <si>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</si>
  <si>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</si>
  <si>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</si>
  <si>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</si>
  <si>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</si>
  <si>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</si>
  <si>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</si>
  <si>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</si>
  <si>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</si>
  <si>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</si>
  <si>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Barnes</t>
  </si>
  <si>
    <t>Benson</t>
  </si>
  <si>
    <t>Billings</t>
  </si>
  <si>
    <t>Bottineau</t>
  </si>
  <si>
    <t>Bowman</t>
  </si>
  <si>
    <t>Burleigh</t>
  </si>
  <si>
    <t>Cavalier</t>
  </si>
  <si>
    <t>Dickey</t>
  </si>
  <si>
    <t>Divide</t>
  </si>
  <si>
    <t>Dunn</t>
  </si>
  <si>
    <t>Emmons</t>
  </si>
  <si>
    <t>Foster</t>
  </si>
  <si>
    <t>Grand Forks</t>
  </si>
  <si>
    <t>Griggs</t>
  </si>
  <si>
    <t>Hettinger</t>
  </si>
  <si>
    <t>Kidder</t>
  </si>
  <si>
    <t>LaMoure</t>
  </si>
  <si>
    <t>McKenzie</t>
  </si>
  <si>
    <t>Mountrail</t>
  </si>
  <si>
    <t>Oliver</t>
  </si>
  <si>
    <t>Pembina</t>
  </si>
  <si>
    <t>Ransom</t>
  </si>
  <si>
    <t>Rolette</t>
  </si>
  <si>
    <t>Sargent</t>
  </si>
  <si>
    <t>Slope</t>
  </si>
  <si>
    <t>Stutsman</t>
  </si>
  <si>
    <t>Towner</t>
  </si>
  <si>
    <t>Traill</t>
  </si>
  <si>
    <t>Walsh</t>
  </si>
  <si>
    <t>Ward</t>
  </si>
  <si>
    <t>Williams</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</si>
  <si>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</si>
  <si>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</si>
  <si>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</si>
  <si>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</si>
  <si>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</si>
  <si>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</si>
  <si>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</si>
  <si>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</si>
  <si>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</si>
  <si>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</si>
  <si>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</si>
  <si>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</si>
  <si>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</si>
  <si>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</si>
  <si>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</si>
  <si>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</si>
  <si>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</si>
  <si>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</si>
  <si>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</si>
  <si>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</si>
  <si>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</si>
  <si>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</si>
  <si>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</si>
  <si>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</si>
  <si>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</si>
  <si>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</si>
  <si>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</si>
  <si>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</si>
  <si>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</si>
  <si>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</si>
  <si>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</si>
  <si>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</si>
  <si>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</si>
  <si>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</si>
  <si>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</si>
  <si>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Alfalfa</t>
  </si>
  <si>
    <t>Atoka</t>
  </si>
  <si>
    <t>Beaver</t>
  </si>
  <si>
    <t>Beckham</t>
  </si>
  <si>
    <t>Caddo</t>
  </si>
  <si>
    <t>Canadian</t>
  </si>
  <si>
    <t>Cimarron</t>
  </si>
  <si>
    <t>Coal</t>
  </si>
  <si>
    <t>Cotton</t>
  </si>
  <si>
    <t>Craig</t>
  </si>
  <si>
    <t>Creek</t>
  </si>
  <si>
    <t>Dewey</t>
  </si>
  <si>
    <t>Garvin</t>
  </si>
  <si>
    <t>Greer</t>
  </si>
  <si>
    <t>Harmon</t>
  </si>
  <si>
    <t>Hughes</t>
  </si>
  <si>
    <t>Kay</t>
  </si>
  <si>
    <t>Kingfisher</t>
  </si>
  <si>
    <t>Latimer</t>
  </si>
  <si>
    <t>Le Flore</t>
  </si>
  <si>
    <t>Love</t>
  </si>
  <si>
    <t>McClain</t>
  </si>
  <si>
    <t>McCurtain</t>
  </si>
  <si>
    <t>Major</t>
  </si>
  <si>
    <t>Mayes</t>
  </si>
  <si>
    <t>Muskogee</t>
  </si>
  <si>
    <t>Nowata</t>
  </si>
  <si>
    <t>Okfuskee</t>
  </si>
  <si>
    <t>Oklahoma</t>
  </si>
  <si>
    <t>Okmulgee</t>
  </si>
  <si>
    <t>Payne</t>
  </si>
  <si>
    <t>Pittsburg</t>
  </si>
  <si>
    <t>Pushmataha</t>
  </si>
  <si>
    <t>Roger Mills</t>
  </si>
  <si>
    <t>Rogers</t>
  </si>
  <si>
    <t>Sequoyah</t>
  </si>
  <si>
    <t>Tillman</t>
  </si>
  <si>
    <t>Tulsa</t>
  </si>
  <si>
    <t>Wagoner</t>
  </si>
  <si>
    <t>Washita</t>
  </si>
  <si>
    <t>Woods</t>
  </si>
  <si>
    <t>Woodward</t>
  </si>
  <si>
    <t>Clackamas</t>
  </si>
  <si>
    <t>Clatsop</t>
  </si>
  <si>
    <t>Crook</t>
  </si>
  <si>
    <t>Deschutes</t>
  </si>
  <si>
    <t>Gilliam</t>
  </si>
  <si>
    <t>Harney</t>
  </si>
  <si>
    <t>Hood River</t>
  </si>
  <si>
    <t>Josephine</t>
  </si>
  <si>
    <t>Klamath</t>
  </si>
  <si>
    <t>Malheur</t>
  </si>
  <si>
    <t>Multnomah</t>
  </si>
  <si>
    <t>Tillamook</t>
  </si>
  <si>
    <t>Umatilla</t>
  </si>
  <si>
    <t>Wallowa</t>
  </si>
  <si>
    <t>Wasco</t>
  </si>
  <si>
    <t>Yamhill</t>
  </si>
  <si>
    <t>Allegheny</t>
  </si>
  <si>
    <t>Armstrong</t>
  </si>
  <si>
    <t>Bedford</t>
  </si>
  <si>
    <t>Berks</t>
  </si>
  <si>
    <t>Blair</t>
  </si>
  <si>
    <t>Bucks</t>
  </si>
  <si>
    <t>Cambria</t>
  </si>
  <si>
    <t>Cameron</t>
  </si>
  <si>
    <t>Centre</t>
  </si>
  <si>
    <t>Chester</t>
  </si>
  <si>
    <t>Clarion</t>
  </si>
  <si>
    <t>Clearfield</t>
  </si>
  <si>
    <t>Dauphin</t>
  </si>
  <si>
    <t>Forest</t>
  </si>
  <si>
    <t>Huntingdon</t>
  </si>
  <si>
    <t>Indiana</t>
  </si>
  <si>
    <t>Juniata</t>
  </si>
  <si>
    <t>Lackawanna</t>
  </si>
  <si>
    <t>Lebanon</t>
  </si>
  <si>
    <t>Lehigh</t>
  </si>
  <si>
    <t>Luzerne</t>
  </si>
  <si>
    <t>Lycoming</t>
  </si>
  <si>
    <t>Mc Kean</t>
  </si>
  <si>
    <t>Mifflin</t>
  </si>
  <si>
    <t>Montour</t>
  </si>
  <si>
    <t>Northumberland</t>
  </si>
  <si>
    <t>Philadelphia</t>
  </si>
  <si>
    <t>Potter</t>
  </si>
  <si>
    <t>Schuylkill</t>
  </si>
  <si>
    <t>Snyder</t>
  </si>
  <si>
    <t>Susquehanna</t>
  </si>
  <si>
    <t>Venango</t>
  </si>
  <si>
    <t>Westmoreland</t>
  </si>
  <si>
    <t>Newport</t>
  </si>
  <si>
    <t>Providence</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</si>
  <si>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</si>
  <si>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</si>
  <si>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</si>
  <si>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</si>
  <si>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</si>
  <si>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</si>
  <si>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</si>
  <si>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</si>
  <si>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</si>
  <si>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</si>
  <si>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</si>
  <si>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</si>
  <si>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</si>
  <si>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</si>
  <si>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</si>
  <si>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</si>
  <si>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</si>
  <si>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</si>
  <si>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</si>
  <si>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</si>
  <si>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McCormick</t>
  </si>
  <si>
    <t>Marlboro</t>
  </si>
  <si>
    <t>Newberry</t>
  </si>
  <si>
    <t>Orangeburg</t>
  </si>
  <si>
    <t>Saluda</t>
  </si>
  <si>
    <t>Spartanburg</t>
  </si>
  <si>
    <t>Williamsburg</t>
  </si>
  <si>
    <t>Aurora</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</si>
  <si>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</si>
  <si>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</si>
  <si>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</si>
  <si>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</si>
  <si>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</si>
  <si>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</si>
  <si>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</si>
  <si>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</si>
  <si>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</si>
  <si>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</si>
  <si>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</si>
  <si>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</si>
  <si>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</si>
  <si>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</si>
  <si>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</si>
  <si>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</si>
  <si>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</si>
  <si>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</si>
  <si>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</si>
  <si>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</si>
  <si>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</si>
  <si>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</si>
  <si>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McCook</t>
  </si>
  <si>
    <t>Mellette</t>
  </si>
  <si>
    <t>Miner</t>
  </si>
  <si>
    <t>Minnehaha</t>
  </si>
  <si>
    <t>Moody</t>
  </si>
  <si>
    <t>Roberts</t>
  </si>
  <si>
    <t>Sanborn</t>
  </si>
  <si>
    <t>Spink</t>
  </si>
  <si>
    <t>Stanley</t>
  </si>
  <si>
    <t>Sully</t>
  </si>
  <si>
    <t>Tripp</t>
  </si>
  <si>
    <t>Walworth</t>
  </si>
  <si>
    <t>Yankton</t>
  </si>
  <si>
    <t>Ziebach</t>
  </si>
  <si>
    <t>Bledsoe</t>
  </si>
  <si>
    <t>Cannon</t>
  </si>
  <si>
    <t>Cheatham</t>
  </si>
  <si>
    <t>Cocke</t>
  </si>
  <si>
    <t>Crockett</t>
  </si>
  <si>
    <t>Dickson</t>
  </si>
  <si>
    <t>Dyer</t>
  </si>
  <si>
    <t>Fentress</t>
  </si>
  <si>
    <t>Giles</t>
  </si>
  <si>
    <t>Grainger</t>
  </si>
  <si>
    <t>Hamblen</t>
  </si>
  <si>
    <t>Hardeman</t>
  </si>
  <si>
    <t>Hawkins</t>
  </si>
  <si>
    <t>Loudon</t>
  </si>
  <si>
    <t>McMinn</t>
  </si>
  <si>
    <t>McNairy</t>
  </si>
  <si>
    <t>Maury</t>
  </si>
  <si>
    <t>Obion</t>
  </si>
  <si>
    <t>Overton</t>
  </si>
  <si>
    <t>Pickett</t>
  </si>
  <si>
    <t>Rhea</t>
  </si>
  <si>
    <t>Roane</t>
  </si>
  <si>
    <t>Sequatchie</t>
  </si>
  <si>
    <t>Trousdale</t>
  </si>
  <si>
    <t>Unicoi</t>
  </si>
  <si>
    <t>Weakley</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</si>
  <si>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</si>
  <si>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</si>
  <si>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</si>
  <si>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</si>
  <si>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</si>
  <si>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</si>
  <si>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</si>
  <si>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</si>
  <si>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</si>
  <si>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</si>
  <si>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</si>
  <si>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</si>
  <si>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</si>
  <si>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</si>
  <si>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</si>
  <si>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</si>
  <si>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</si>
  <si>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</si>
  <si>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</si>
  <si>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</si>
  <si>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</si>
  <si>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</si>
  <si>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</si>
  <si>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</si>
  <si>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</si>
  <si>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</si>
  <si>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</si>
  <si>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</si>
  <si>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</si>
  <si>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</si>
  <si>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Collin</t>
  </si>
  <si>
    <t>Collingsworth</t>
  </si>
  <si>
    <t>Colorado</t>
  </si>
  <si>
    <t>Comal</t>
  </si>
  <si>
    <t>Concho</t>
  </si>
  <si>
    <t>Cooke</t>
  </si>
  <si>
    <t>Coryell</t>
  </si>
  <si>
    <t>Cottle</t>
  </si>
  <si>
    <t>Crane</t>
  </si>
  <si>
    <t>Crosby</t>
  </si>
  <si>
    <t>Culberson</t>
  </si>
  <si>
    <t>Dallam</t>
  </si>
  <si>
    <t>Deaf Smith</t>
  </si>
  <si>
    <t>Denton</t>
  </si>
  <si>
    <t>DeWitt</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</si>
  <si>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</si>
  <si>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</si>
  <si>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</si>
  <si>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</si>
  <si>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</si>
  <si>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</si>
  <si>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</si>
  <si>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</si>
  <si>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</si>
  <si>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</si>
  <si>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</si>
  <si>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</si>
  <si>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</si>
  <si>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</si>
  <si>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</si>
  <si>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</si>
  <si>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</si>
  <si>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</si>
  <si>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</si>
  <si>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</si>
  <si>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</si>
  <si>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</si>
  <si>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</si>
  <si>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</si>
  <si>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</si>
  <si>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</si>
  <si>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</si>
  <si>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</si>
  <si>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</si>
  <si>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</si>
  <si>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</si>
  <si>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</si>
  <si>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</si>
  <si>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</si>
  <si>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</si>
  <si>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</si>
  <si>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</si>
  <si>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</si>
  <si>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</si>
  <si>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</si>
  <si>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</si>
  <si>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</si>
  <si>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</si>
  <si>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</si>
  <si>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</si>
  <si>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</si>
  <si>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</si>
  <si>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</si>
  <si>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</si>
  <si>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</si>
  <si>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McCulloch</t>
  </si>
  <si>
    <t>McLennan</t>
  </si>
  <si>
    <t>McMullen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</si>
  <si>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</si>
  <si>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</si>
  <si>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</si>
  <si>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</si>
  <si>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</si>
  <si>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</si>
  <si>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</si>
  <si>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</si>
  <si>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</si>
  <si>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</si>
  <si>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</si>
  <si>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</si>
  <si>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</si>
  <si>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</si>
  <si>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</si>
  <si>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</si>
  <si>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</si>
  <si>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</si>
  <si>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</si>
  <si>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Red River</t>
  </si>
  <si>
    <t>Reeves</t>
  </si>
  <si>
    <t>Refugio</t>
  </si>
  <si>
    <t>Rockwall</t>
  </si>
  <si>
    <t>Runnels</t>
  </si>
  <si>
    <t>Rusk</t>
  </si>
  <si>
    <t>Sabine</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</si>
  <si>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</si>
  <si>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</si>
  <si>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</si>
  <si>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</si>
  <si>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</si>
  <si>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</si>
  <si>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</si>
  <si>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</si>
  <si>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</si>
  <si>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</si>
  <si>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</si>
  <si>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</si>
  <si>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</si>
  <si>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</si>
  <si>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</si>
  <si>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</si>
  <si>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</si>
  <si>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</si>
  <si>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</si>
  <si>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</si>
  <si>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</si>
  <si>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</si>
  <si>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</si>
  <si>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</si>
  <si>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</si>
  <si>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</si>
  <si>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</si>
  <si>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</si>
  <si>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</si>
  <si>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</si>
  <si>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</si>
  <si>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</si>
  <si>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</si>
  <si>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</si>
  <si>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</si>
  <si>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</si>
  <si>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</si>
  <si>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Box Elder</t>
  </si>
  <si>
    <t>Cache</t>
  </si>
  <si>
    <t>Daggett</t>
  </si>
  <si>
    <t>Duchesne</t>
  </si>
  <si>
    <t>Emery</t>
  </si>
  <si>
    <t>Juab</t>
  </si>
  <si>
    <t>Millard</t>
  </si>
  <si>
    <t>Piute</t>
  </si>
  <si>
    <t>Rich</t>
  </si>
  <si>
    <t>Salt Lake</t>
  </si>
  <si>
    <t>Sanpete</t>
  </si>
  <si>
    <t>Tooele</t>
  </si>
  <si>
    <t>Uintah</t>
  </si>
  <si>
    <t>Utah</t>
  </si>
  <si>
    <t>Wasatch</t>
  </si>
  <si>
    <t>Weber</t>
  </si>
  <si>
    <t>Addison</t>
  </si>
  <si>
    <t>Bennington</t>
  </si>
  <si>
    <t>Caledonia</t>
  </si>
  <si>
    <t>Chittenden</t>
  </si>
  <si>
    <t>Grand Isle</t>
  </si>
  <si>
    <t>Lamoille</t>
  </si>
  <si>
    <t>Rutland</t>
  </si>
  <si>
    <t>Windsor</t>
  </si>
  <si>
    <t>Accomack</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</si>
  <si>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</si>
  <si>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</si>
  <si>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</si>
  <si>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</si>
  <si>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</si>
  <si>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</si>
  <si>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</si>
  <si>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</si>
  <si>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</si>
  <si>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</si>
  <si>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</si>
  <si>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</si>
  <si>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</si>
  <si>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</si>
  <si>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</si>
  <si>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</si>
  <si>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</si>
  <si>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</si>
  <si>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</si>
  <si>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</si>
  <si>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</si>
  <si>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</si>
  <si>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</si>
  <si>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</si>
  <si>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</si>
  <si>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</si>
  <si>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</si>
  <si>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</si>
  <si>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</si>
  <si>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</si>
  <si>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</si>
  <si>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</si>
  <si>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</si>
  <si>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</si>
  <si>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</si>
  <si>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</si>
  <si>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</si>
  <si>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</si>
  <si>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</si>
  <si>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</si>
  <si>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</si>
  <si>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</si>
  <si>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</si>
  <si>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</si>
  <si>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Alexandria city</t>
  </si>
  <si>
    <t>Bedford city</t>
  </si>
  <si>
    <t>Bristol city</t>
  </si>
  <si>
    <t>Buena Vista city</t>
  </si>
  <si>
    <t>Charlottesville city</t>
  </si>
  <si>
    <t>Chesapeake city</t>
  </si>
  <si>
    <t>Clifton Forge city</t>
  </si>
  <si>
    <t>Colonial Heights city</t>
  </si>
  <si>
    <t>Covington city</t>
  </si>
  <si>
    <t>Danville city</t>
  </si>
  <si>
    <t>Emporia city</t>
  </si>
  <si>
    <t>Fairfax city</t>
  </si>
  <si>
    <t>Falls Church city</t>
  </si>
  <si>
    <t>Franklin city</t>
  </si>
  <si>
    <t>Fredericksburg city</t>
  </si>
  <si>
    <t>Galax city</t>
  </si>
  <si>
    <t>Hampton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</si>
  <si>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</si>
  <si>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</si>
  <si>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</si>
  <si>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</si>
  <si>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</si>
  <si>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</si>
  <si>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</si>
  <si>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</si>
  <si>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</si>
  <si>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</si>
  <si>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</si>
  <si>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</si>
  <si>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</si>
  <si>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</si>
  <si>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</si>
  <si>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</si>
  <si>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Salem city</t>
  </si>
  <si>
    <t>South Boston city</t>
  </si>
  <si>
    <t>Staunton city</t>
  </si>
  <si>
    <t>Suffolk city</t>
  </si>
  <si>
    <t>Virginia Beach city</t>
  </si>
  <si>
    <t>Waynesboro city</t>
  </si>
  <si>
    <t>Williamsburg city</t>
  </si>
  <si>
    <t>Winchester city</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</si>
  <si>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</si>
  <si>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</si>
  <si>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</si>
  <si>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</si>
  <si>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</si>
  <si>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</si>
  <si>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</si>
  <si>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</si>
  <si>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</si>
  <si>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</si>
  <si>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</si>
  <si>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</si>
  <si>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</si>
  <si>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</si>
  <si>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</si>
  <si>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</si>
  <si>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</si>
  <si>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</si>
  <si>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</si>
  <si>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</si>
  <si>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</si>
  <si>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</si>
  <si>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</si>
  <si>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</si>
  <si>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</si>
  <si>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</si>
  <si>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</si>
  <si>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</si>
  <si>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</si>
  <si>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</si>
  <si>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</si>
  <si>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</si>
  <si>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</si>
  <si>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</si>
  <si>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</si>
  <si>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</si>
  <si>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</si>
  <si>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</si>
  <si>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</si>
  <si>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Barron</t>
  </si>
  <si>
    <t>Bayfield</t>
  </si>
  <si>
    <t>Burnett</t>
  </si>
  <si>
    <t>Calumet</t>
  </si>
  <si>
    <t>Dane</t>
  </si>
  <si>
    <t>Door</t>
  </si>
  <si>
    <t>Eau Claire</t>
  </si>
  <si>
    <t>Fond du Lac</t>
  </si>
  <si>
    <t>Green Lake</t>
  </si>
  <si>
    <t>Juneau</t>
  </si>
  <si>
    <t>Kenosha</t>
  </si>
  <si>
    <t>Kewaunee</t>
  </si>
  <si>
    <t>La Crosse</t>
  </si>
  <si>
    <t>Langlade</t>
  </si>
  <si>
    <t>Manitowoc</t>
  </si>
  <si>
    <t>Marathon</t>
  </si>
  <si>
    <t>Marinette</t>
  </si>
  <si>
    <t>Milwaukee</t>
  </si>
  <si>
    <t>Oconto</t>
  </si>
  <si>
    <t>Outagamie</t>
  </si>
  <si>
    <t>Ozaukee</t>
  </si>
  <si>
    <t>Pepin</t>
  </si>
  <si>
    <t>Price</t>
  </si>
  <si>
    <t>Racine</t>
  </si>
  <si>
    <t>St. Croix</t>
  </si>
  <si>
    <t>Sauk</t>
  </si>
  <si>
    <t>Sawyer</t>
  </si>
  <si>
    <t>Shawano</t>
  </si>
  <si>
    <t>Sheboygan</t>
  </si>
  <si>
    <t>Trempealeau</t>
  </si>
  <si>
    <t>Vilas</t>
  </si>
  <si>
    <t>Washburn</t>
  </si>
  <si>
    <t>Waukesha</t>
  </si>
  <si>
    <t>Waupaca</t>
  </si>
  <si>
    <t>Waushara</t>
  </si>
  <si>
    <t>Converse</t>
  </si>
  <si>
    <t>Goshen</t>
  </si>
  <si>
    <t>Hot Springs</t>
  </si>
  <si>
    <t>Laramie</t>
  </si>
  <si>
    <t>Natrona</t>
  </si>
  <si>
    <t>Niobrara</t>
  </si>
  <si>
    <t>Sublette</t>
  </si>
  <si>
    <t>Sweetwater</t>
  </si>
  <si>
    <t>Uinta</t>
  </si>
  <si>
    <t>Washakie</t>
  </si>
  <si>
    <t>Weston</t>
  </si>
  <si>
    <t>Adjuntas</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</si>
  <si>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</si>
  <si>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</si>
  <si>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</si>
  <si>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</si>
  <si>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</si>
  <si>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</si>
  <si>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</si>
  <si>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</si>
  <si>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</si>
  <si>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</si>
  <si>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</si>
  <si>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</si>
  <si>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</si>
  <si>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</si>
  <si>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</si>
  <si>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</si>
  <si>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</si>
  <si>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</si>
  <si>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</si>
  <si>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</si>
  <si>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Coama</t>
  </si>
  <si>
    <t>Comerio</t>
  </si>
  <si>
    <t>Corozal</t>
  </si>
  <si>
    <t>Culebra</t>
  </si>
  <si>
    <t>Dorado</t>
  </si>
  <si>
    <t>Fajardo</t>
  </si>
  <si>
    <t>Florida</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</si>
  <si>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</si>
  <si>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</si>
  <si>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</si>
  <si>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</si>
  <si>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</si>
  <si>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</si>
  <si>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</si>
  <si>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</si>
  <si>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</si>
  <si>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</si>
  <si>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</si>
  <si>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</si>
  <si>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</si>
  <si>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</si>
  <si>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</si>
  <si>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</si>
  <si>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</si>
  <si>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</si>
  <si>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</si>
  <si>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</si>
  <si>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</si>
  <si>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Mayaguez</t>
  </si>
  <si>
    <t>Moca</t>
  </si>
  <si>
    <t>Morovis</t>
  </si>
  <si>
    <t>Naguabo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</si>
  <si>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</si>
  <si>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</si>
  <si>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</si>
  <si>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</si>
  <si>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</si>
  <si>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</si>
  <si>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</si>
  <si>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</si>
  <si>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</si>
  <si>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</si>
  <si>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</si>
  <si>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</si>
  <si>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</si>
  <si>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</si>
  <si>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</si>
  <si>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</si>
  <si>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</si>
  <si>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</si>
  <si>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</si>
  <si>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</si>
  <si>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</si>
  <si>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</si>
  <si>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</si>
  <si>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St Croix</t>
  </si>
  <si>
    <t>St John</t>
  </si>
  <si>
    <t>St Thomas</t>
  </si>
  <si>
    <t>Select State First</t>
  </si>
  <si>
    <t>$DB.LOOKUP.RANGE_LOOKUP_COUNTY_PLACEHOLDER</t>
  </si>
  <si>
    <t>COUNTY_PLACEHOLDER</t>
  </si>
  <si>
    <t xml:space="preserve">% Complete (Required Fields) </t>
  </si>
  <si>
    <t>$DB.CONFIG.TBL_CONFIG_WARNINGMSGS::[L|M]</t>
  </si>
  <si>
    <t>WARNINGMSG_ID</t>
  </si>
  <si>
    <t>WARNINGMSG_TEXT</t>
  </si>
  <si>
    <t>Responses In This Section Do Not Meet AHP Eligibility Requirements</t>
  </si>
  <si>
    <t>SECTION_8_WARNING_COUNT</t>
  </si>
  <si>
    <t>SECTION_8_WARNING_FLAG</t>
  </si>
  <si>
    <t>SECTION_1_WARNING_COUNT</t>
  </si>
  <si>
    <t>SECTION_1_WARNING_FLAG</t>
  </si>
  <si>
    <t>SECTION_14_WARNING_COUNT</t>
  </si>
  <si>
    <t>SECTION_14_WARNING_FLAG</t>
  </si>
  <si>
    <t>SECTION_13_WARNING_COUNT</t>
  </si>
  <si>
    <t>SECTION_13_WARNING_FLAG</t>
  </si>
  <si>
    <t>SECTION_12_WARNING_COUNT</t>
  </si>
  <si>
    <t>SECTION_12_WARNING_FLAG</t>
  </si>
  <si>
    <t>SECTION_11_WARNING_COUNT</t>
  </si>
  <si>
    <t>SECTION_11_WARNING_FLAG</t>
  </si>
  <si>
    <t>SECTION_10_WARNING_COUNT</t>
  </si>
  <si>
    <t>SECTION_10_WARNING_FLAG</t>
  </si>
  <si>
    <t>SECTION_9_WARNING_COUNT</t>
  </si>
  <si>
    <t>SECTION_9_WARNING_FLAG</t>
  </si>
  <si>
    <t>SECTION_7_WARNING_COUNT</t>
  </si>
  <si>
    <t>SECTION_7_WARNING_FLAG</t>
  </si>
  <si>
    <t>SECTION_6_WARNING_COUNT</t>
  </si>
  <si>
    <t>SECTION_6_WARNING_FLAG</t>
  </si>
  <si>
    <t>SECTION_5_WARNING_COUNT</t>
  </si>
  <si>
    <t>SECTION_5_WARNING_FLAG</t>
  </si>
  <si>
    <t>SECTION_4_WARNING_COUNT</t>
  </si>
  <si>
    <t>SECTION_4_WARNING_FLAG</t>
  </si>
  <si>
    <t>SECTION_3_WARNING_COUNT</t>
  </si>
  <si>
    <t>SECTION_3_WARNING_FLAG</t>
  </si>
  <si>
    <t>SECTION_2_WARNING_COUNT</t>
  </si>
  <si>
    <t>SECTION_2_WARNING_FLAG</t>
  </si>
  <si>
    <t>SECTION_11_WARNING_01</t>
  </si>
  <si>
    <t>TOTAL_WARNING_COUNT</t>
  </si>
  <si>
    <t>TOTAL_WARNING_FLAG</t>
  </si>
  <si>
    <t>TOTAL_WARNING_FLAG_ICON</t>
  </si>
  <si>
    <t>TOTAL_WARNING_MESSAGE</t>
  </si>
  <si>
    <t>SECTION_12_WARNING_01</t>
  </si>
  <si>
    <t>SECTION_15_WARNING_COUNT</t>
  </si>
  <si>
    <t>SECTION_15_WARNING_FLAG</t>
  </si>
  <si>
    <t>Warning(s) In Application; Please Review and Address Issues As Necessary</t>
  </si>
  <si>
    <t>Round Maintenance</t>
  </si>
  <si>
    <t>WELCOME_LINK_04_URL</t>
  </si>
  <si>
    <t>WELCOME_LINK_04_TEXT</t>
  </si>
  <si>
    <t>WELCOME_LINK_05_URL</t>
  </si>
  <si>
    <t>WELCOME_LINK_05_TEXT</t>
  </si>
  <si>
    <t>WELCOME_LINK_06_URL</t>
  </si>
  <si>
    <t>WELCOME_LINK_06_TEXT</t>
  </si>
  <si>
    <t>Census Tract (xxxx.xx)</t>
  </si>
  <si>
    <t>Call FHLBNY Community Investment Department to Discuss This Request</t>
  </si>
  <si>
    <t>Welcome Screen</t>
  </si>
  <si>
    <t>Member Contact - Full Name</t>
  </si>
  <si>
    <t>Member Contact - Title</t>
  </si>
  <si>
    <t>Member Contact - Street Address</t>
  </si>
  <si>
    <t>Member Contact - City</t>
  </si>
  <si>
    <t>Member Contact - State</t>
  </si>
  <si>
    <t>Member Contact - Zip Code</t>
  </si>
  <si>
    <t>Member Contact - Email Address</t>
  </si>
  <si>
    <t>Member Contact - Telephone Number</t>
  </si>
  <si>
    <t>MEMBER_NAME</t>
  </si>
  <si>
    <t>MEMBER_CONTACT_FULLNAME</t>
  </si>
  <si>
    <t>MEMBER_CONTACT_TITLE</t>
  </si>
  <si>
    <t>MEMBER_CONTACT_ADDRESS</t>
  </si>
  <si>
    <t>MEMBER_CONTACT_CITY</t>
  </si>
  <si>
    <t>MEMBER_CONTACT_STATE</t>
  </si>
  <si>
    <t>MEMBER_CONTACT_ZIP_CODE</t>
  </si>
  <si>
    <t>MEMBER_CONTACT_EMAIL_ADDR</t>
  </si>
  <si>
    <t>MEMBER_CONTACT_PHONE_NO</t>
  </si>
  <si>
    <t>Member Information</t>
  </si>
  <si>
    <t>APP SECTION</t>
  </si>
  <si>
    <t>PROJECT LOCATION</t>
  </si>
  <si>
    <t>MEMBER INFORMATION</t>
  </si>
  <si>
    <t>SPONSOR INFORMATION</t>
  </si>
  <si>
    <t>#1</t>
  </si>
  <si>
    <t>#2</t>
  </si>
  <si>
    <t>#3</t>
  </si>
  <si>
    <t>#4</t>
  </si>
  <si>
    <t>#5</t>
  </si>
  <si>
    <t>#6</t>
  </si>
  <si>
    <t>#7</t>
  </si>
  <si>
    <t>#8</t>
  </si>
  <si>
    <t>#9</t>
  </si>
  <si>
    <t>#10</t>
  </si>
  <si>
    <t>#11</t>
  </si>
  <si>
    <t>#12</t>
  </si>
  <si>
    <t>#13</t>
  </si>
  <si>
    <t>#14</t>
  </si>
  <si>
    <t>#15</t>
  </si>
  <si>
    <t>#16</t>
  </si>
  <si>
    <t>#17</t>
  </si>
  <si>
    <t>#18</t>
  </si>
  <si>
    <t>#19</t>
  </si>
  <si>
    <t>#20</t>
  </si>
  <si>
    <t>#21</t>
  </si>
  <si>
    <t>#22</t>
  </si>
  <si>
    <t>#23</t>
  </si>
  <si>
    <t>#24</t>
  </si>
  <si>
    <t>#25</t>
  </si>
  <si>
    <t>SPEC_FIELD_ID</t>
  </si>
  <si>
    <t>Sponsor Information</t>
  </si>
  <si>
    <t>PRIOR_PROJ_NAME</t>
  </si>
  <si>
    <t>PRIOR_PROJ_AWARD_AMT</t>
  </si>
  <si>
    <t>PRIOR_PROJ_NUMBER</t>
  </si>
  <si>
    <t>Subsidy - Prior Project - Name</t>
  </si>
  <si>
    <t>Subsidy - Prior Project - Number</t>
  </si>
  <si>
    <t>#26</t>
  </si>
  <si>
    <t>SUBSIDY REQUEST</t>
  </si>
  <si>
    <t>Subsidy - Prior Project - Award Amount</t>
  </si>
  <si>
    <t>#27</t>
  </si>
  <si>
    <t>#28</t>
  </si>
  <si>
    <t>#29</t>
  </si>
  <si>
    <t>Subsidy - Subsidized Advance Request</t>
  </si>
  <si>
    <t>Subsidy - Subsidized Advance Rate</t>
  </si>
  <si>
    <t>Subsidy - Subsidized Advance Term</t>
  </si>
  <si>
    <t>ADV_TERM</t>
  </si>
  <si>
    <t>#30</t>
  </si>
  <si>
    <t>#31</t>
  </si>
  <si>
    <t>#32</t>
  </si>
  <si>
    <t>OTHER_DISTRICT_SUB_AMT</t>
  </si>
  <si>
    <t>OTHER_DISTRICT_PROJ_NAME</t>
  </si>
  <si>
    <t>Subsidy - Other District Subsidy Amount</t>
  </si>
  <si>
    <t>Subsidy - Other District Project Name</t>
  </si>
  <si>
    <t>#33</t>
  </si>
  <si>
    <t>#34</t>
  </si>
  <si>
    <t>#35</t>
  </si>
  <si>
    <t>Direct Subsidy Requested</t>
  </si>
  <si>
    <t>WARNING_COUNT</t>
  </si>
  <si>
    <t>Project Number</t>
  </si>
  <si>
    <t>Term of Advance</t>
  </si>
  <si>
    <t>Rate Requested</t>
  </si>
  <si>
    <t>$DB.LOOKUP.RANGE_LOOKUP_FHLBANKDISTRICTS</t>
  </si>
  <si>
    <t>Boston</t>
  </si>
  <si>
    <t>Pittsburgh</t>
  </si>
  <si>
    <t>Atlanta</t>
  </si>
  <si>
    <t>Cincinnati</t>
  </si>
  <si>
    <t>Indianapolis</t>
  </si>
  <si>
    <t>Chicago</t>
  </si>
  <si>
    <t>Topeka</t>
  </si>
  <si>
    <t>Not Applicable (No Other District)</t>
  </si>
  <si>
    <t>OTHER_DISTRICT_ATLANTA</t>
  </si>
  <si>
    <t>OTHER_DISTRICT_BOSTON</t>
  </si>
  <si>
    <t>OTHER_DISTRICT_CHICAGO</t>
  </si>
  <si>
    <t>OTHER_DISTRICT_CINCINNATI</t>
  </si>
  <si>
    <t>OTHER_DISTRICT_DALLAS</t>
  </si>
  <si>
    <t>OTHER_DISTRICT_DESMOINES</t>
  </si>
  <si>
    <t>OTHER_DISTRICT_INDIANAPOLIS</t>
  </si>
  <si>
    <t>OTHER_DISTRICT_NEWYORK</t>
  </si>
  <si>
    <t>OTHER_DISTRICT_PITTSBURGH</t>
  </si>
  <si>
    <t>OTHER_DISTRICT_TOPEKA</t>
  </si>
  <si>
    <t>OTHER_DISTRICT_LIST</t>
  </si>
  <si>
    <t>Subsidy - Other District - Atlanta</t>
  </si>
  <si>
    <t>Subsidy - Other District - Boston</t>
  </si>
  <si>
    <t>Subsidy - Other District - Chicago</t>
  </si>
  <si>
    <t>Subsidy - Other District - Cincinnati</t>
  </si>
  <si>
    <t>Subsidy - Other District - Dallas</t>
  </si>
  <si>
    <t>Subsidy - Other District - Des Moines</t>
  </si>
  <si>
    <t>Subsidy - Other District - Indianapolis</t>
  </si>
  <si>
    <t>Subsidy - Other District - New York</t>
  </si>
  <si>
    <t>Subsidy - Other District - Pittsburgh</t>
  </si>
  <si>
    <t>Subsidy - Other District - Topeka</t>
  </si>
  <si>
    <t>Subsidy - Other District - List</t>
  </si>
  <si>
    <t>#36</t>
  </si>
  <si>
    <t>APPLICATION WEBINARS &amp; TECH ASSISTANCE</t>
  </si>
  <si>
    <t>PRIOR_ROUND_FAILED_PROJ_NAME</t>
  </si>
  <si>
    <t>Prior Unsuccessful Project Submission - Name</t>
  </si>
  <si>
    <t>Prior Unsuccessful Project Submission - Indicator</t>
  </si>
  <si>
    <t>PRIOR_ROUND_FAILED_PROJ_ROUND</t>
  </si>
  <si>
    <t>Prior Unsuccessful Project Submission - Round/Date</t>
  </si>
  <si>
    <t>#37</t>
  </si>
  <si>
    <t>#38</t>
  </si>
  <si>
    <t>#39</t>
  </si>
  <si>
    <t>#40</t>
  </si>
  <si>
    <t>Tech Assistance Received to re-apply in Current Round</t>
  </si>
  <si>
    <t>#41</t>
  </si>
  <si>
    <t xml:space="preserve">Webinar - Session Attended </t>
  </si>
  <si>
    <t>Webinar - Future Consideration Indicator</t>
  </si>
  <si>
    <t>Application Webinars and Technical Assistance</t>
  </si>
  <si>
    <t>Has the project sponsor (or representative) attended an AHP Application Webinar for the current competition?</t>
  </si>
  <si>
    <t>Would the project sponsor (or representative) consider attending an AHP Application Webinar in the future?</t>
  </si>
  <si>
    <t>PROJ_DESCRIPTION</t>
  </si>
  <si>
    <t>PROJ_RESIDENCE_TYPE_CD</t>
  </si>
  <si>
    <t>SELF_HELP_FLG</t>
  </si>
  <si>
    <t>SCATTERED_SITE_FLG</t>
  </si>
  <si>
    <t>SCATTERED_SITE_DESC</t>
  </si>
  <si>
    <t>SINGLE_ROOM_OCC_UNITS_FLG</t>
  </si>
  <si>
    <t>WEBINAR_SESSION_FUTURE_FLG</t>
  </si>
  <si>
    <t>PRIOR_ROUND_FAILED_PROJ_FLG</t>
  </si>
  <si>
    <t>TECH_ASSISTANCE_CURR_ROUND_FLG</t>
  </si>
  <si>
    <t>SPONSOR_WORKSHOP_ATTENDANCE</t>
  </si>
  <si>
    <t>NEW_CONSTRUCTION_FLG</t>
  </si>
  <si>
    <t>REHABILITATION_FLG</t>
  </si>
  <si>
    <t>ACQUISITION_FLG</t>
  </si>
  <si>
    <t>MIXED_USE_FLG</t>
  </si>
  <si>
    <t>COMMERCIAL_UNITS</t>
  </si>
  <si>
    <t>TOTAL_COMMERCIAL_SQU_FT</t>
  </si>
  <si>
    <t>PERCENT_COMMERCIAL_UNITS</t>
  </si>
  <si>
    <t>COMMERCIAL_SPACE_DESC</t>
  </si>
  <si>
    <t>JOBS_NONCONSTRUCT_CREATE_FLG</t>
  </si>
  <si>
    <t>JOBS_NONCONSTRUCT_COUNT</t>
  </si>
  <si>
    <t>MILITARY_BASE_FLG</t>
  </si>
  <si>
    <t>NATV_LAND_FLG</t>
  </si>
  <si>
    <t>HUD_811_202_FINANCE_FLG</t>
  </si>
  <si>
    <t>HUD_OTHER_FINANCE_DESC</t>
  </si>
  <si>
    <t>PROJ_FEASIBILITY_DESC</t>
  </si>
  <si>
    <t>PROJ_FAIRHOUSING_DESC</t>
  </si>
  <si>
    <t>Project Description</t>
  </si>
  <si>
    <t>Self-Help Housing Indicator</t>
  </si>
  <si>
    <t>Scattered Site Indicator</t>
  </si>
  <si>
    <t>Scattered Site Description</t>
  </si>
  <si>
    <t>Single Room Occupancy Units Indicator</t>
  </si>
  <si>
    <t>New Construction Indicator</t>
  </si>
  <si>
    <t>Rehabilitation Indicator</t>
  </si>
  <si>
    <t>Acquisition Indicator</t>
  </si>
  <si>
    <t>Mixed Use Indicator</t>
  </si>
  <si>
    <t>Commercial Units Count</t>
  </si>
  <si>
    <t>Commercial Space Square Footage</t>
  </si>
  <si>
    <t>Commercial Space Percentage</t>
  </si>
  <si>
    <t>Commercial Space Revenue Generating &amp; Future Use Description</t>
  </si>
  <si>
    <t>Non-Construction Jobs Creation Flag</t>
  </si>
  <si>
    <t>Non-Construction Jobs Creation Count</t>
  </si>
  <si>
    <t>Military Base Indicator</t>
  </si>
  <si>
    <t>Native American Land Indicator</t>
  </si>
  <si>
    <t>HUD Other Financing Description</t>
  </si>
  <si>
    <t>Project Feasibility Description</t>
  </si>
  <si>
    <t>Project Fair Housing Description</t>
  </si>
  <si>
    <t>#42</t>
  </si>
  <si>
    <t>PROJECT TYPE &amp; CHARACTERISTICS</t>
  </si>
  <si>
    <t>#44</t>
  </si>
  <si>
    <t>#45</t>
  </si>
  <si>
    <t>#46</t>
  </si>
  <si>
    <t>#47</t>
  </si>
  <si>
    <t>#48</t>
  </si>
  <si>
    <t>#49</t>
  </si>
  <si>
    <t>#50</t>
  </si>
  <si>
    <t>#51</t>
  </si>
  <si>
    <t>#52</t>
  </si>
  <si>
    <t>#53</t>
  </si>
  <si>
    <t>#54</t>
  </si>
  <si>
    <t>#55</t>
  </si>
  <si>
    <t>#56</t>
  </si>
  <si>
    <t>#82</t>
  </si>
  <si>
    <t>#83</t>
  </si>
  <si>
    <t>#84</t>
  </si>
  <si>
    <t>#85</t>
  </si>
  <si>
    <t>#86</t>
  </si>
  <si>
    <t>#87</t>
  </si>
  <si>
    <t>#57</t>
  </si>
  <si>
    <t>#58</t>
  </si>
  <si>
    <t>Project Type and Characteristics</t>
  </si>
  <si>
    <t>$DB.LOOKUP.RANGE_LOOKUP_PROJFAMILYSIZETYPE</t>
  </si>
  <si>
    <t>Multifamily</t>
  </si>
  <si>
    <t>S</t>
  </si>
  <si>
    <t>M</t>
  </si>
  <si>
    <t>PROJ_RESIDENCE_TYPE_DESC</t>
  </si>
  <si>
    <t>Project Residence Type Description</t>
  </si>
  <si>
    <t>Project Residence Type Code (LOOKUP)</t>
  </si>
  <si>
    <t>Webinars &amp; Technical Assistance</t>
  </si>
  <si>
    <t>Single-room occupancy units</t>
  </si>
  <si>
    <t>Rehabilitation</t>
  </si>
  <si>
    <t>Acquisition</t>
  </si>
  <si>
    <t>Fair Housing</t>
  </si>
  <si>
    <t>Number of Commercial Units</t>
  </si>
  <si>
    <t>Commercial Space Sq. Ft.</t>
  </si>
  <si>
    <t>% of Project that is Commercial Space</t>
  </si>
  <si>
    <t>Supplemental Information</t>
  </si>
  <si>
    <t>Is the project located on a military base?</t>
  </si>
  <si>
    <t>HUD_OTHER_FINANCE_FLG</t>
  </si>
  <si>
    <t>HUD Other Financing Flag</t>
  </si>
  <si>
    <t>#87A</t>
  </si>
  <si>
    <t>Added on 10/30/2015</t>
  </si>
  <si>
    <t>TOTAL_ERROR_COUNT</t>
  </si>
  <si>
    <t>ERROR_COUNT</t>
  </si>
  <si>
    <t>PROJECT_DISBURSEMENT_PHASE</t>
  </si>
  <si>
    <t>CONSTRUCTION_MTG_TIMELINE</t>
  </si>
  <si>
    <t>FUNDS_UTILIZED_12MOS_FLG</t>
  </si>
  <si>
    <t>FUNDS_USED_REFI_FLG</t>
  </si>
  <si>
    <t>FUNDS_USED_PRIN_PAYDOWN_FLG</t>
  </si>
  <si>
    <t>FUNDS_WRITEDOWN_INT_HOME_MTG_FLG</t>
  </si>
  <si>
    <t>FUNDS_PAY_HOMEBUYER_CLOSING_FLG</t>
  </si>
  <si>
    <t>FUNDS_PAY_HOMEBUYER_CNSLNG_FLG</t>
  </si>
  <si>
    <t>FUNDS_USED_LOANPOOL_FLG</t>
  </si>
  <si>
    <t>FUNDS_CAPITALIZE_REV_LOANFUND_FLG</t>
  </si>
  <si>
    <t>#81</t>
  </si>
  <si>
    <t>#79</t>
  </si>
  <si>
    <t>#80</t>
  </si>
  <si>
    <t>#88</t>
  </si>
  <si>
    <t>#90</t>
  </si>
  <si>
    <t>#89</t>
  </si>
  <si>
    <t>#91</t>
  </si>
  <si>
    <t>#92</t>
  </si>
  <si>
    <t>#93</t>
  </si>
  <si>
    <t>#94</t>
  </si>
  <si>
    <t>#95</t>
  </si>
  <si>
    <t>#96</t>
  </si>
  <si>
    <t>Timing and Use of Funds</t>
  </si>
  <si>
    <t>Project Subsidy Disbursement Phase</t>
  </si>
  <si>
    <t>Project Construction or Mortgage Issuance Timeline</t>
  </si>
  <si>
    <t>FUNDS_USED_CLOSING_RENTALACQ_FLG</t>
  </si>
  <si>
    <t>FUNDS_SECURED_2NDLIENPOS_FLG</t>
  </si>
  <si>
    <t>AHP Funds: Closing Costs in Rental Prop. Acquisition Indicator</t>
  </si>
  <si>
    <t>AHP Funds: Utilized within 12 months of approval indicator</t>
  </si>
  <si>
    <t>AHP Funds: Refinance Mtg Indicator</t>
  </si>
  <si>
    <t>AHP Funds: Secured in 2nd Lien Position Indicator</t>
  </si>
  <si>
    <t>AHP Funds: Pay Down Mortgage Principal Indicator</t>
  </si>
  <si>
    <t>AHP Funds: Writedown Interest Rate on Home Mortgage Indicator</t>
  </si>
  <si>
    <t>AHP Funds: Pay Homebuyer Closing Costs Indicator</t>
  </si>
  <si>
    <t>AHP Funds: Pay Homebuyer Counseling Costs Indicator</t>
  </si>
  <si>
    <t>AHP Funds: Fund a Loan Pool Indicator</t>
  </si>
  <si>
    <t>AHP Funds: Capitalize Revolving Loan Fund Indicator</t>
  </si>
  <si>
    <t>Construction</t>
  </si>
  <si>
    <t>Permanent</t>
  </si>
  <si>
    <t>Not Used</t>
  </si>
  <si>
    <t>$DB.LOOKUP.RANGE_LOOKUP_DISBURSEMENTPHASE</t>
  </si>
  <si>
    <t>$DB.LOOKUP.RANGE_LOOKUP_CONSTRUCTIONTIMING</t>
  </si>
  <si>
    <t>Immediately</t>
  </si>
  <si>
    <t>Within 12 Months</t>
  </si>
  <si>
    <t>Beyond 12 Months</t>
  </si>
  <si>
    <t>When will the project begin construction or issue mortgages?</t>
  </si>
  <si>
    <t xml:space="preserve">Will the project utilize the AHP funds within 12 months of approval? </t>
  </si>
  <si>
    <t>Pay project's closing costs in acquisition of rental property?</t>
  </si>
  <si>
    <t>Refinance a mortgage in conjunction with the purchase, construction, or rehabilitation of the project?</t>
  </si>
  <si>
    <t>Pay down the principal on any mortgage?</t>
  </si>
  <si>
    <t>Utilization includes disbursement of funds or using the commitment of AHP to secure other financing sources.</t>
  </si>
  <si>
    <t>1. General Information</t>
  </si>
  <si>
    <t xml:space="preserve">   2. Scoring</t>
  </si>
  <si>
    <t>Member Selling REO to Project Indicator</t>
  </si>
  <si>
    <t>Member Lien on Project Property Indicator</t>
  </si>
  <si>
    <t>Member Selling Services to Project Indicator</t>
  </si>
  <si>
    <t>Transaction Terms Description</t>
  </si>
  <si>
    <t>Member Financing Indicator</t>
  </si>
  <si>
    <t>Bridge Loan Indicator</t>
  </si>
  <si>
    <t>Construction Loan Indicator</t>
  </si>
  <si>
    <t>Permanent loan/home mortgage(s) Indicator</t>
  </si>
  <si>
    <t>FHLBSF Providing Advance Indicator</t>
  </si>
  <si>
    <t>Member Reduced Closing Costs Indicator</t>
  </si>
  <si>
    <t>Member Purchase Low Income Tax Credits Indicator</t>
  </si>
  <si>
    <t>Member in-kind Contributions or Services Indicator</t>
  </si>
  <si>
    <t>Arms Length Transaction Description</t>
  </si>
  <si>
    <t>#98</t>
  </si>
  <si>
    <t>#99</t>
  </si>
  <si>
    <t>#100</t>
  </si>
  <si>
    <t>#101</t>
  </si>
  <si>
    <t>#102</t>
  </si>
  <si>
    <t>#103</t>
  </si>
  <si>
    <t>#104</t>
  </si>
  <si>
    <t>#105</t>
  </si>
  <si>
    <t>#106</t>
  </si>
  <si>
    <t>#107</t>
  </si>
  <si>
    <t>#108</t>
  </si>
  <si>
    <t>#109</t>
  </si>
  <si>
    <t>#110</t>
  </si>
  <si>
    <t>Member Involvement</t>
  </si>
  <si>
    <t>MEMBER_SELLING_REO_FLG</t>
  </si>
  <si>
    <t>MEMBER_LIEN_MTG_FLG</t>
  </si>
  <si>
    <t>MEMBER_SELLING_SERVICES_FLG</t>
  </si>
  <si>
    <t>MEMBER_TRANSACTION_TERMS_DESC</t>
  </si>
  <si>
    <t>MEMBER_FINANCING_FLG</t>
  </si>
  <si>
    <t>MEMBER_BRIDGE_LOAN_FLG</t>
  </si>
  <si>
    <t>MEMBER_CONSTRUCTION_LOAN_FLG</t>
  </si>
  <si>
    <t>MEMBER_PERM_LOAN_MTG_FLG</t>
  </si>
  <si>
    <t>FHLBSF_PROVIDING_ADVANCE_FLG</t>
  </si>
  <si>
    <t>MEMBER_REDUCED_CLOSINGCOSTS_FLG</t>
  </si>
  <si>
    <t>MEMBER_PURCHASE_TAXCREDS_FLG</t>
  </si>
  <si>
    <t>MEMBER_INKIND_CONTRIB_FLG</t>
  </si>
  <si>
    <t>ARMS_LENGTH_TRANSACTION_DESC</t>
  </si>
  <si>
    <t xml:space="preserve">Is the member selling real estate that it owns (REO) to the project? </t>
  </si>
  <si>
    <t xml:space="preserve">Does the member hold a lien or mortgage on property that is being sold to the project? </t>
  </si>
  <si>
    <t>Is the member selling services to the project?</t>
  </si>
  <si>
    <t>Excluding the pass-through of AHP subsidy, is the member providing any type of financing?</t>
  </si>
  <si>
    <t>Excluding the pass-through of AHP subsidy, is the FHLBank San Francisco providing an advance in connection with this subsidy request?</t>
  </si>
  <si>
    <t>Excluding the pass-through of AHP subsidy, is the member providing reduced closing costs?</t>
  </si>
  <si>
    <t>Is the member providing in-kind contributions or services?</t>
  </si>
  <si>
    <t>#59</t>
  </si>
  <si>
    <t>#60</t>
  </si>
  <si>
    <t>#61</t>
  </si>
  <si>
    <t>#62</t>
  </si>
  <si>
    <t>#63</t>
  </si>
  <si>
    <t>#64</t>
  </si>
  <si>
    <t>#65</t>
  </si>
  <si>
    <t>#66</t>
  </si>
  <si>
    <t>#67</t>
  </si>
  <si>
    <t>#68</t>
  </si>
  <si>
    <t>#69</t>
  </si>
  <si>
    <t>#70</t>
  </si>
  <si>
    <t>#71</t>
  </si>
  <si>
    <t>#72</t>
  </si>
  <si>
    <t>#73</t>
  </si>
  <si>
    <t>#74</t>
  </si>
  <si>
    <t>#75</t>
  </si>
  <si>
    <t>#76</t>
  </si>
  <si>
    <t>#77</t>
  </si>
  <si>
    <t>#78</t>
  </si>
  <si>
    <t>NA</t>
  </si>
  <si>
    <t>No ID, Added after specs drafted</t>
  </si>
  <si>
    <t>Sponsor - Tax Status</t>
  </si>
  <si>
    <t>Sponsor- Organization Type</t>
  </si>
  <si>
    <t>Sponsor - Financial Interest in Project Description</t>
  </si>
  <si>
    <t>Sponsor - Role and Responsibilities Description</t>
  </si>
  <si>
    <t>Sponsor - Development Experience in Past Four Years</t>
  </si>
  <si>
    <t>Sponsor - Concurrently Planned Projects</t>
  </si>
  <si>
    <t>Sponsor - Other Relevant Experience</t>
  </si>
  <si>
    <t>Development Partner #1 - Name and Tax Status</t>
  </si>
  <si>
    <t>Development Partner #1 - Type of Organization</t>
  </si>
  <si>
    <t>Development Partner #1 - Financial Interest in Project &amp; Spons. Relationship</t>
  </si>
  <si>
    <t>Development Partner #1 - Roles and Responsibilities Description</t>
  </si>
  <si>
    <t>Development Partner #1 - Development Experience in Past Four Years</t>
  </si>
  <si>
    <t>Development Partner #1 - Concurrently Planned Projects</t>
  </si>
  <si>
    <t>Development Partner #1 - Other Relevant Experience</t>
  </si>
  <si>
    <t>Development Partner #2 - Name and Tax Status</t>
  </si>
  <si>
    <t>Development Partner #2 - Type of Organization</t>
  </si>
  <si>
    <t>Development Partner #2 - Financial Interest in Project &amp; Spons. Relationship</t>
  </si>
  <si>
    <t>Development Partner #2 - Roles and Responsibilities Description</t>
  </si>
  <si>
    <t>Development Partner #2 - Development Experience in Past Four Years</t>
  </si>
  <si>
    <t>Development Partner #2 - Concurrently Planned Projects</t>
  </si>
  <si>
    <t>Development Partner #2 - Other Relevant Experience</t>
  </si>
  <si>
    <t>SPONSOR_TAX_STATUS_DESC</t>
  </si>
  <si>
    <t>SPONSOR_ORG_TYPE_DESC</t>
  </si>
  <si>
    <t>SPONSOR_FINANCIAL_INTEREST_DESC</t>
  </si>
  <si>
    <t>SPONSOR_ROLES_RESPONSIBILITIES_DESC</t>
  </si>
  <si>
    <t>SPONSOR_DEV_EXPERIENCE_DESC</t>
  </si>
  <si>
    <t>SPONSOR_CONCURRENT_PROJECTS_DESC</t>
  </si>
  <si>
    <t>SPONSOR_OTHER_EXPERIENCE_DESC</t>
  </si>
  <si>
    <t>DEVPARTNER1_FINANCIAL_INTEREST_DESC</t>
  </si>
  <si>
    <t>DEVPARTNER1_ROLES_RESPONSIBILITIES_DESC</t>
  </si>
  <si>
    <t>DEVPARTNER1_DEV_EXPERIENCE_DESC</t>
  </si>
  <si>
    <t>DEVPARTNER1_CONCURRENT_PROJECTS_DESC</t>
  </si>
  <si>
    <t>DEVPARTNER1_OTHER_EXPERIENCE_DESC</t>
  </si>
  <si>
    <t>DEVPARTNER2_FINANCIAL_INTEREST_DESC</t>
  </si>
  <si>
    <t>DEVPARTNER2_ROLES_RESPONSIBILITIES_DESC</t>
  </si>
  <si>
    <t>DEVPARTNER2_DEV_EXPERIENCE_DESC</t>
  </si>
  <si>
    <t>DEVPARTNER2_CONCURRENT_PROJECTS_DESC</t>
  </si>
  <si>
    <t>DEVPARTNER2_OTHER_EXPERIENCE_DESC</t>
  </si>
  <si>
    <t>Other Relevant Experience (affordable housing development, property management, and/or real estate sales, if applicable)</t>
  </si>
  <si>
    <t>Development Partner #1</t>
  </si>
  <si>
    <t>Financial Interest in the Project and Relationship to Sponsor</t>
  </si>
  <si>
    <t>Development Partner #2</t>
  </si>
  <si>
    <t>DONATED_UNITS_COUNT</t>
  </si>
  <si>
    <t>DONATED_UNITS_SOURCE</t>
  </si>
  <si>
    <t>DONATED_UNITS_LEASE_TERMS</t>
  </si>
  <si>
    <t>DONATED_UNITS_LEASE_PAYMENT_AMT</t>
  </si>
  <si>
    <t>DONATED_UNITS_ACQUISITION_PRICE</t>
  </si>
  <si>
    <t>FED_UNITS_COUNT</t>
  </si>
  <si>
    <t>FED_UNITS_SOURCE</t>
  </si>
  <si>
    <t>FED_UNITS_LEASE_TERMS</t>
  </si>
  <si>
    <t>FED_UNITS_LEASE_PAYMENT_AMT</t>
  </si>
  <si>
    <t>FED_UNITS_ACQUISITION_PRICE</t>
  </si>
  <si>
    <t>UNDERFMV_UNITS_COUNT</t>
  </si>
  <si>
    <t>UNDERFMV_UNITS_SOURCE</t>
  </si>
  <si>
    <t>UNDERFMV_UNITS_FMT_PCT</t>
  </si>
  <si>
    <t>UNDERFMV_UNITS_FMV_AMT</t>
  </si>
  <si>
    <t>UNDERFMV_UNITS_ACQUISITION_PRICE</t>
  </si>
  <si>
    <t>UNDERFMV_UNITS_AGREEMENT_DATE</t>
  </si>
  <si>
    <t>UNDERFMV_UNITS_APPRAISAL_DATE</t>
  </si>
  <si>
    <t>DONATING_ENTITY_HUD_FLG</t>
  </si>
  <si>
    <t>DONATING_ENTITY_STATE_FLG</t>
  </si>
  <si>
    <t>DONATING_ENTITY_NONGOVI_FLG</t>
  </si>
  <si>
    <t>DONATING_ENTITY_GOVTPROP_OTHER_FLG</t>
  </si>
  <si>
    <t>DONATING_ENTITY_GOVTPROP_LOCAL_FLG</t>
  </si>
  <si>
    <t>Donated Units - Count</t>
  </si>
  <si>
    <t>Donated Units - Source</t>
  </si>
  <si>
    <t>Donated Units - Lease Terms</t>
  </si>
  <si>
    <t>Donated Units - Annual Lease Payment</t>
  </si>
  <si>
    <t>Donated Units - Acquisition Price</t>
  </si>
  <si>
    <t>Fed Agency Acquired Units - Count</t>
  </si>
  <si>
    <t>Fed Agency Acquired Units - Source</t>
  </si>
  <si>
    <t>Fed Agency Acquired Units - Lease Terms</t>
  </si>
  <si>
    <t>Fed Agency Acquired Units - Annual Lease Payment</t>
  </si>
  <si>
    <t>Fed Agency Acquired Units - Acquisition Price</t>
  </si>
  <si>
    <t>Under FMV Units - Count</t>
  </si>
  <si>
    <t>Under FMV Units - Source</t>
  </si>
  <si>
    <t>Under FMV Units - Appraised Fair Market Value Amount</t>
  </si>
  <si>
    <t>FMV % (Calculated Field)</t>
  </si>
  <si>
    <t>Under FMV Units - Acquisition Price</t>
  </si>
  <si>
    <t>Under FMV Units - Acquisition Date</t>
  </si>
  <si>
    <t>Donating Entity - HUD Indicator</t>
  </si>
  <si>
    <t>Donating Entity - Other Federal Indicator</t>
  </si>
  <si>
    <t>DONATING_ENTITY_OTHERFED_FLG</t>
  </si>
  <si>
    <t>Donating Entity - State Indicator</t>
  </si>
  <si>
    <t>Donating Entity - Non-Government Source Indicator</t>
  </si>
  <si>
    <t>Donating Entity - Government Properties - Other Indicator</t>
  </si>
  <si>
    <t>Donating Entity - Government Properties - Local Indicator</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</si>
  <si>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</si>
  <si>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</si>
  <si>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</si>
  <si>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</si>
  <si>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</si>
  <si>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</si>
  <si>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</si>
  <si>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</si>
  <si>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</si>
  <si>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</si>
  <si>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</si>
  <si>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</si>
  <si>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</si>
  <si>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</si>
  <si>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</si>
  <si>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</si>
  <si>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</si>
  <si>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</si>
  <si>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</si>
  <si>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</si>
  <si>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</si>
  <si>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</si>
  <si>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</si>
  <si>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Donated or Conveyed Properties</t>
  </si>
  <si>
    <t>Donated or Conveyed Property</t>
  </si>
  <si>
    <t>Indicate the number of donated units in the project and the source of the donation. Donated units are created as a result of the conveyance of units or land for a nominal price by the federal government or any agency or instrumentality thereof, or by any other unrelated party. Land leases may qualify for points in this category if the lease extends at least as long as the applicable AHP retention period and if the annual cost of the lease is nominal. A nominal price is defined as $1,000 or less, and may be accompanied by modest expenses related to the conveyance of property for use by the project. Properties acquired from a federal agency or instrumentality at any price may receive 1 point. Properties acquired at an amount significantly below fair market value may receive up to 4 points.</t>
  </si>
  <si>
    <t>Donation of Property</t>
  </si>
  <si>
    <t>Source of Donation/Conveyance</t>
  </si>
  <si>
    <t>Annual Lease Payment</t>
  </si>
  <si>
    <t>Acquisition of Property from a Federal Agency</t>
  </si>
  <si>
    <t xml:space="preserve">How many units will be acquired from an agency or instrumentality of the Federal government? </t>
  </si>
  <si>
    <t>Source of Acquisition/Federal Agency</t>
  </si>
  <si>
    <t>How many units will be acquired at an amount significantly below fair market value?</t>
  </si>
  <si>
    <t>Source of Acquisition</t>
  </si>
  <si>
    <t>FMV %</t>
  </si>
  <si>
    <t>Acquisition Agreement Date</t>
  </si>
  <si>
    <t>Government Properties - HUD</t>
  </si>
  <si>
    <t>Government Properties - Other Federal</t>
  </si>
  <si>
    <t>Government Properties - State</t>
  </si>
  <si>
    <t>Non-Government Source</t>
  </si>
  <si>
    <t>Government Properties - Other</t>
  </si>
  <si>
    <t>Government Properties - Local</t>
  </si>
  <si>
    <t>UNDERFMW_UNITS_DATES_6MO_FLG</t>
  </si>
  <si>
    <t>Appraisal &amp; Acquisition Within 6 Months Indicator</t>
  </si>
  <si>
    <t>Under FMV Units - Appraisal Date</t>
  </si>
  <si>
    <t>#NA</t>
  </si>
  <si>
    <t>Added for Warning Flag on Appr Date</t>
  </si>
  <si>
    <t>Acquisition of Property Below Fair Market Value (FMV)</t>
  </si>
  <si>
    <t>GU</t>
  </si>
  <si>
    <t>Guam</t>
  </si>
  <si>
    <t>FLAGS WHICH BUILD #33</t>
  </si>
  <si>
    <t>Project Sponsor Profile</t>
  </si>
  <si>
    <t>Development Partner(s)</t>
  </si>
  <si>
    <t>TOC_ROW_START</t>
  </si>
  <si>
    <t>TOC_ROW_END_COL1</t>
  </si>
  <si>
    <t>TOC_ROW_COUNT_COL1</t>
  </si>
  <si>
    <t>Targeting</t>
  </si>
  <si>
    <t>TOTAL_UNITS</t>
  </si>
  <si>
    <t>INCOME_RESTRICTED_UNITS</t>
  </si>
  <si>
    <t>NONINCOME_RESTRICTED_UNITS</t>
  </si>
  <si>
    <t>MANAGER_UNITS</t>
  </si>
  <si>
    <t>INCOME_RESTRICTED_TBL_ROW1_UNITS</t>
  </si>
  <si>
    <t>INCOME_RESTRICTED_TBL_ROW1_AMI</t>
  </si>
  <si>
    <t>INCOME_RESTRICTED_TBL_ROW10_UNITS</t>
  </si>
  <si>
    <t>INCOME_RESTRICTED_TBL_ROW10_AMI</t>
  </si>
  <si>
    <t>INCOME_RESTRICTED_TBL_ROW9_AMI</t>
  </si>
  <si>
    <t>INCOME_RESTRICTED_TBL_ROW9_UNITS</t>
  </si>
  <si>
    <t>INCOME_RESTRICTED_TBL_ROW8_AMI</t>
  </si>
  <si>
    <t>INCOME_RESTRICTED_TBL_ROW8_UNITS</t>
  </si>
  <si>
    <t>INCOME_RESTRICTED_TBL_ROW7_AMI</t>
  </si>
  <si>
    <t>INCOME_RESTRICTED_TBL_ROW7_UNITS</t>
  </si>
  <si>
    <t>INCOME_RESTRICTED_TBL_ROW6_AMI</t>
  </si>
  <si>
    <t>INCOME_RESTRICTED_TBL_ROW6_UNITS</t>
  </si>
  <si>
    <t>INCOME_RESTRICTED_TBL_ROW5_AMI</t>
  </si>
  <si>
    <t>INCOME_RESTRICTED_TBL_ROW5_UNITS</t>
  </si>
  <si>
    <t>INCOME_RESTRICTED_TBL_ROW4_AMI</t>
  </si>
  <si>
    <t>INCOME_RESTRICTED_TBL_ROW4_UNITS</t>
  </si>
  <si>
    <t>INCOME_RESTRICTED_TBL_ROW3_AMI</t>
  </si>
  <si>
    <t>INCOME_RESTRICTED_TBL_ROW3_UNITS</t>
  </si>
  <si>
    <t>INCOME_RESTRICTED_TBL_ROW2_AMI</t>
  </si>
  <si>
    <t>INCOME_RESTRICTED_TBL_ROW2_UNITS</t>
  </si>
  <si>
    <t>Targeting - Total Units</t>
  </si>
  <si>
    <t>Targeting - Non-Income Restricted Units</t>
  </si>
  <si>
    <t>Targeting - Income Restricted Units - Total</t>
  </si>
  <si>
    <t>Targeting - Income Restricted Units Table - Row 1 - Units</t>
  </si>
  <si>
    <t>Targeting - Income Restricted Units Table - Row 1 - AMI</t>
  </si>
  <si>
    <t>Targeting - Income Restricted Units Table - Row 2 - Units</t>
  </si>
  <si>
    <t>Targeting - Income Restricted Units Table - Row 2 - AMI</t>
  </si>
  <si>
    <t>Targeting - Income Restricted Units Table - Row 3 - Units</t>
  </si>
  <si>
    <t>Targeting - Income Restricted Units Table - Row 3 - AMI</t>
  </si>
  <si>
    <t>Targeting - Income Restricted Units Table - Row 4 - Units</t>
  </si>
  <si>
    <t>Targeting - Income Restricted Units Table - Row 4 - AMI</t>
  </si>
  <si>
    <t>Targeting - Income Restricted Units Table - Row 5 - Units</t>
  </si>
  <si>
    <t>Targeting - Income Restricted Units Table - Row 5 - AMI</t>
  </si>
  <si>
    <t>Targeting - Income Restricted Units Table - Row 6 - Units</t>
  </si>
  <si>
    <t>Targeting - Income Restricted Units Table - Row 6 - AMI</t>
  </si>
  <si>
    <t>Targeting - Income Restricted Units Table - Row 7 - Units</t>
  </si>
  <si>
    <t>Targeting - Income Restricted Units Table - Row 7 - AMI</t>
  </si>
  <si>
    <t>Targeting - Income Restricted Units Table - Row 8 - Units</t>
  </si>
  <si>
    <t>Targeting - Income Restricted Units Table - Row 8 - AMI</t>
  </si>
  <si>
    <t>Targeting - Income Restricted Units Table - Row 9 - Units</t>
  </si>
  <si>
    <t>Targeting - Income Restricted Units Table - Row 9 - AMI</t>
  </si>
  <si>
    <t>Targeting - Income Restricted Units Table - Row 10 - Units</t>
  </si>
  <si>
    <t>Targeting - Income Restricted Units Table - Row 10 - AMI</t>
  </si>
  <si>
    <t>Targeting - Manager Units</t>
  </si>
  <si>
    <t>#215</t>
  </si>
  <si>
    <t>#217</t>
  </si>
  <si>
    <t>#216</t>
  </si>
  <si>
    <t>#218</t>
  </si>
  <si>
    <t>#219</t>
  </si>
  <si>
    <t>Target AMI</t>
  </si>
  <si>
    <t>Row</t>
  </si>
  <si>
    <t>Income-Restricted Units</t>
  </si>
  <si>
    <t>Total Number of Units in Project</t>
  </si>
  <si>
    <t>Nonprofit Sponsorship</t>
  </si>
  <si>
    <t>#134</t>
  </si>
  <si>
    <t>#134A</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</si>
  <si>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</si>
  <si>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</si>
  <si>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</si>
  <si>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</si>
  <si>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</si>
  <si>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</si>
  <si>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</si>
  <si>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</si>
  <si>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</si>
  <si>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</si>
  <si>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</si>
  <si>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</si>
  <si>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</si>
  <si>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</si>
  <si>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</si>
  <si>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</si>
  <si>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</si>
  <si>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</si>
  <si>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</si>
  <si>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</si>
  <si>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</si>
  <si>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</si>
  <si>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</si>
  <si>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</si>
  <si>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</si>
  <si>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Nonprofit Organization</t>
  </si>
  <si>
    <t>State or Local Agency</t>
  </si>
  <si>
    <t>Not a Nonprofit or Government Entity</t>
  </si>
  <si>
    <t>SPONSOR_ORG_TYPE_CATEGORY</t>
  </si>
  <si>
    <t>SPONSOR_NONPROFIT_501C3_FLG</t>
  </si>
  <si>
    <t>SPONSOR_CERTIFICATION_IND</t>
  </si>
  <si>
    <t>SPONSOR_OWNERSHIP_INTEREST_BRACKET</t>
  </si>
  <si>
    <t>PARTNERSHIP_LP_OWNERSHIP_INTEREST</t>
  </si>
  <si>
    <t>PARTNERSHIP_GP_OWNERSHIP_INTEREST</t>
  </si>
  <si>
    <t>GP_VOTING_INTEREST</t>
  </si>
  <si>
    <t>GP_OWNERSHIP_INTEREST</t>
  </si>
  <si>
    <t>GP2_NAME</t>
  </si>
  <si>
    <t>GP2_ORG_TYPE</t>
  </si>
  <si>
    <t>GP2_VOTING_INTEREST</t>
  </si>
  <si>
    <t>GP2_OWNERSHIP_INTEREST</t>
  </si>
  <si>
    <t>GP3_NAME</t>
  </si>
  <si>
    <t>GP3_ORG_TYPE</t>
  </si>
  <si>
    <t>GP3_VOTING_INTEREST</t>
  </si>
  <si>
    <t>GP3_OWNERSHIP_INTEREST</t>
  </si>
  <si>
    <t>SPONSOR_PROJECT_PLANNING_FLG</t>
  </si>
  <si>
    <t>SPONSOR_PROJECT_DEV_FLG</t>
  </si>
  <si>
    <t>SPONSOR_CONSTRUCTION_FLG</t>
  </si>
  <si>
    <t>SPONSOR_PROJECT_PROPMGMT_FLG</t>
  </si>
  <si>
    <t>SPONSOR_PROJECT_FINANCING_RENTAL_FLG</t>
  </si>
  <si>
    <t>SPONSOR_PROJECT_FINANCING_OWNER_FLG</t>
  </si>
  <si>
    <t>SPONSOR_PROJECT_SELFHELPHSEHLDS_FLG</t>
  </si>
  <si>
    <t>SPONSOR_PREPURCH_CNSLING_FLG</t>
  </si>
  <si>
    <t>SPONSOR_POSTPURCH_CNSLING_FLG</t>
  </si>
  <si>
    <t>SPONSOR_QUALIFYBUYERS_FLG</t>
  </si>
  <si>
    <t>DEVELOPER_FEE_BRACKET</t>
  </si>
  <si>
    <t>Develper Fee Bracket</t>
  </si>
  <si>
    <t>Sponsor Involved In: Qualification of Homebuyers</t>
  </si>
  <si>
    <t>Sponsor Involved In:  Project Planning &amp; Design</t>
  </si>
  <si>
    <t>Sponsor Involved In:  Project Development</t>
  </si>
  <si>
    <t>Sponsor Involved In: Construction</t>
  </si>
  <si>
    <t>Sponsor Involved In: Property Management</t>
  </si>
  <si>
    <t>Sponsor Involved In: Project Financing or Securing Funding Commitments</t>
  </si>
  <si>
    <t>Sponsor Involved In: Project Financing</t>
  </si>
  <si>
    <t>Sponsor Involved In: Management of Self-Help Households</t>
  </si>
  <si>
    <t>Sponsor Involved In: Pre-Purcahse Counseling</t>
  </si>
  <si>
    <t>Sponsor Involved In: Post-Purchase Counseling</t>
  </si>
  <si>
    <t>General Partner #3 - Ownership Interest</t>
  </si>
  <si>
    <t>General Partner #3 - Voting Interest</t>
  </si>
  <si>
    <t>General Partner #3 - Name</t>
  </si>
  <si>
    <t>General Partner #3 - Organization Type</t>
  </si>
  <si>
    <t>General Partner #2 - Name</t>
  </si>
  <si>
    <t>General Partner #2 - Organization Type</t>
  </si>
  <si>
    <t>General Partner #2 - Voting Interest</t>
  </si>
  <si>
    <t>General Partner #2 - Ownership Interest</t>
  </si>
  <si>
    <t>General Partner (Non-Profit Sponsor)- Voting Interest</t>
  </si>
  <si>
    <t>General Partner (Non-Profit Sponsor) - Ownership Interest</t>
  </si>
  <si>
    <t>Limited Partnership - Limited Partner Ownership Interest</t>
  </si>
  <si>
    <t>Limited Partnership - General Partner Ownership Interest</t>
  </si>
  <si>
    <t>Sponsor Ownership Interest Bracket</t>
  </si>
  <si>
    <t>Sponsor Certification Indicator (Certification of Statements)</t>
  </si>
  <si>
    <t>Sponsor NonProfit 501(c)(3) indicator</t>
  </si>
  <si>
    <t>Sponsor Organization Type Category</t>
  </si>
  <si>
    <t>Sponsor Classification</t>
  </si>
  <si>
    <t>Project Ownership Interest</t>
  </si>
  <si>
    <t>Nonprofit Sponsor Involvement</t>
  </si>
  <si>
    <t>Developer Fee</t>
  </si>
  <si>
    <t>$DB.LOOKUP.RANGE_DEVELOPER_FEE</t>
  </si>
  <si>
    <t>Sponsor receives less than 25% of total developer fee</t>
  </si>
  <si>
    <t>Sponsor receives equal to or greater than 25% of total developer fee</t>
  </si>
  <si>
    <t>Project has no developer fee</t>
  </si>
  <si>
    <t>Homeless Housing</t>
  </si>
  <si>
    <t>#160</t>
  </si>
  <si>
    <t>#161</t>
  </si>
  <si>
    <t>HOMELESS_UNITS</t>
  </si>
  <si>
    <t>HOMELESS_PROGRAM_DESC</t>
  </si>
  <si>
    <t>Homeless Housing - Units</t>
  </si>
  <si>
    <t>Homeless Housing - Program Description</t>
  </si>
  <si>
    <t>Number of Units Reserved for Homeless</t>
  </si>
  <si>
    <t>Promotion of Empowerment</t>
  </si>
  <si>
    <t>#162</t>
  </si>
  <si>
    <t>#163</t>
  </si>
  <si>
    <t>#164</t>
  </si>
  <si>
    <t>#165</t>
  </si>
  <si>
    <t>#166</t>
  </si>
  <si>
    <t>#167</t>
  </si>
  <si>
    <t>#168</t>
  </si>
  <si>
    <t>#169</t>
  </si>
  <si>
    <t>EMPMNT_WORKFORCEDEV_FLG</t>
  </si>
  <si>
    <t>EMPMNT_OWNERCOUNSELING_FLG</t>
  </si>
  <si>
    <t>EMPMNT_FINLITERACY_FLG</t>
  </si>
  <si>
    <t>EMPMNT_ONSITEHEALTH_FLG</t>
  </si>
  <si>
    <t>EMPMNT_ONSITEDAYCARE_FLG</t>
  </si>
  <si>
    <t>EMPMNT_AFTERSCHOOL_FLG</t>
  </si>
  <si>
    <t>EMPMNT_SWEATEQUITY_FLG</t>
  </si>
  <si>
    <t>EMPMNT_SOCIALWORKER_FLG</t>
  </si>
  <si>
    <t>Empowerment - Workforce Development Readiness Services</t>
  </si>
  <si>
    <t>Empowerment - Financial Literacy Education</t>
  </si>
  <si>
    <t>Empowerment - Pre and Post-Purchase Homeownership Counseling</t>
  </si>
  <si>
    <t>Empowerment - Sweat Equity Contribution/Self Help</t>
  </si>
  <si>
    <t>Empowerment - On-Site Primary Healthcare Services/Programs</t>
  </si>
  <si>
    <t>Empowerment - On-site Child Daycare Services/Programs</t>
  </si>
  <si>
    <t>Empowerment - After/Out-of School Services/Programs</t>
  </si>
  <si>
    <t>Empowerment - Service Coordinator/Social Worker</t>
  </si>
  <si>
    <t>Project Services or Programs</t>
  </si>
  <si>
    <t xml:space="preserve">Physical space for the service must be provided. Service must be from a licensed childcare provider for 20 hours or more per week, Monday-Friday. Program should provide daycare for children up to 6 years of age. The Program is distinct from an after-school or out-of-school program as described below. </t>
  </si>
  <si>
    <t xml:space="preserve">Service should be provided for 15 hours or more per week. The service may be or may serve as a substitute for childcare, enabling the youth's parents or guardians to find or sustain employment. The program increases a youth's potential for personal and financial success by providing strong, supportive role modeling, supporting constructive behaviors, and contributing to a youth's development and interest in education. Program is for school-age children ranging in age from 5 to 17 years old. The program is distinct from on-site child daycare program as described above. </t>
  </si>
  <si>
    <t xml:space="preserve">Documentation supporting the experience and the duties of a service coordinator (not the on-site manager, for example) must be included in the application. </t>
  </si>
  <si>
    <t>#170</t>
  </si>
  <si>
    <t>#171</t>
  </si>
  <si>
    <t>#172</t>
  </si>
  <si>
    <t>#173</t>
  </si>
  <si>
    <t>#174</t>
  </si>
  <si>
    <t>#175</t>
  </si>
  <si>
    <t>Special Needs Units - Seniors</t>
  </si>
  <si>
    <t>Special Needs Units - Mental or Physical Disability</t>
  </si>
  <si>
    <t>Special Needs Units - AIDS or HIV-positive</t>
  </si>
  <si>
    <t>Special Needs Units - Recovery from Physical Abuse</t>
  </si>
  <si>
    <t>Special Needs Units - Recover from Substance Abuse</t>
  </si>
  <si>
    <t>Special Needs Units - Total</t>
  </si>
  <si>
    <t>SPECIALNEEDS_SENIORS_UNITS</t>
  </si>
  <si>
    <t>SPECIALNEEDS_DISABILITY_UNITS</t>
  </si>
  <si>
    <t>SPECIALNEEDS_AIDS_UNITS</t>
  </si>
  <si>
    <t>SPECIALNEEDS_PHYSICALABUSE_UNITS</t>
  </si>
  <si>
    <t>SPECIALNEEDS_SUBSTANCEABUSE_UNITS</t>
  </si>
  <si>
    <t>SPECIALNEEDS_TOTAL_UNITS</t>
  </si>
  <si>
    <t>Special Needs</t>
  </si>
  <si>
    <t>SECTION_16</t>
  </si>
  <si>
    <t>SECTION_16_RANGE</t>
  </si>
  <si>
    <t>SECTION_16_DONE_COUNT</t>
  </si>
  <si>
    <t>SECTION_16_TOTAL_COUNT</t>
  </si>
  <si>
    <t>SECTION_16_ERROR_COUNT</t>
  </si>
  <si>
    <t>SECTION_16_PROGRESS_PERCENT</t>
  </si>
  <si>
    <t>SECTION_16_STATUS_TEXT</t>
  </si>
  <si>
    <t>SECTION_16_STATUS_CODE</t>
  </si>
  <si>
    <t>SECTION_16_TOC_LABEL</t>
  </si>
  <si>
    <t>SECTION_16_WARNING_COUNT</t>
  </si>
  <si>
    <t>SECTION_16_WARNING_FLAG</t>
  </si>
  <si>
    <t>Special Needs Category</t>
  </si>
  <si>
    <t>Total Units Reserved for Special Needs</t>
  </si>
  <si>
    <t>Seniors</t>
  </si>
  <si>
    <t>Mental or Physical Disability</t>
  </si>
  <si>
    <t>AIDS or HIV-Positive</t>
  </si>
  <si>
    <t>Recovery From Physical Abuse</t>
  </si>
  <si>
    <t>RURAL_UNITS</t>
  </si>
  <si>
    <t>RURAL_DESIGNATING_GOVI_ENTITY</t>
  </si>
  <si>
    <t>Rural - Units</t>
  </si>
  <si>
    <t>Rural - Federal or State Government Entity Designating Area(s) Rural</t>
  </si>
  <si>
    <t>#176</t>
  </si>
  <si>
    <t>#177</t>
  </si>
  <si>
    <t>Rural</t>
  </si>
  <si>
    <t>SECTION_17</t>
  </si>
  <si>
    <t>SECTION_17_RANGE</t>
  </si>
  <si>
    <t>SECTION_17_DONE_COUNT</t>
  </si>
  <si>
    <t>SECTION_17_TOTAL_COUNT</t>
  </si>
  <si>
    <t>SECTION_17_ERROR_COUNT</t>
  </si>
  <si>
    <t>SECTION_17_PROGRESS_PERCENT</t>
  </si>
  <si>
    <t>SECTION_17_STATUS_TEXT</t>
  </si>
  <si>
    <t>SECTION_17_STATUS_CODE</t>
  </si>
  <si>
    <t>SECTION_17_TOC_LABEL</t>
  </si>
  <si>
    <t>SECTION_17_WARNING_COUNT</t>
  </si>
  <si>
    <t>SECTION_17_WARNING_FLAG</t>
  </si>
  <si>
    <t>Number of Rural Units</t>
  </si>
  <si>
    <t>Federal or State Government Entity Designating the Area(s) Rural</t>
  </si>
  <si>
    <t>FIRSTTIME_HOMEBUYER_UNITS</t>
  </si>
  <si>
    <t>First Time Homebuyer - Units</t>
  </si>
  <si>
    <t>#178</t>
  </si>
  <si>
    <t>First-Time Homebuyer</t>
  </si>
  <si>
    <t>POTENTIAL_HOMEBUYERS_UNITS_DESC</t>
  </si>
  <si>
    <t>POTENTIAL_HOMEBUYERS_UNITS</t>
  </si>
  <si>
    <t>SCATTERED_SITE_DOWNPAYMENT_FLG</t>
  </si>
  <si>
    <t>Scatttered-Site or downpayment assistance program</t>
  </si>
  <si>
    <t>FULLCONTROL_UNITS</t>
  </si>
  <si>
    <t>Site Control - Full Control - Units</t>
  </si>
  <si>
    <t>Site Control - Full Control - Supporting Document</t>
  </si>
  <si>
    <t>FULLCONTROL_SUPPORTING_DOC</t>
  </si>
  <si>
    <t>FULLCONTROL_CURR_OWNER_NAME</t>
  </si>
  <si>
    <t>Site Control - Full Control - Current Owner or Lessee</t>
  </si>
  <si>
    <t>FULLCONTROL_SELLER_NAME</t>
  </si>
  <si>
    <t>Site Control - Full Control - Name of Seller or Lessor</t>
  </si>
  <si>
    <t>FULLCONTROL_ACQUISITION_DATE</t>
  </si>
  <si>
    <t>Site Control - Full Control - Acquisition or Lease Date</t>
  </si>
  <si>
    <t>FULLCONTROL_PURCHASE_PRICE_AMT</t>
  </si>
  <si>
    <t>Site Control - Full Control - Purchase Price or Lease Price</t>
  </si>
  <si>
    <t>FULLCONTROL_SELLER_AFFILIATED_FLG</t>
  </si>
  <si>
    <t>Site Control - Full Control - Sellor/Lessor Affiliated Indicator</t>
  </si>
  <si>
    <t>FULLCONTROL_SELLER_RELATIONSHIP_DESC</t>
  </si>
  <si>
    <t>Site Control - Full Control - Sellor Affiliation Description</t>
  </si>
  <si>
    <t>FULLCONTROL_PROP_OP_AH_FLG</t>
  </si>
  <si>
    <t>Site Control - Full Control - Subject Prop. Operated as Afford. Hsng Indicator</t>
  </si>
  <si>
    <t>FULLCONTROL_PROP_OP_AH_DESC</t>
  </si>
  <si>
    <t>Site Control - Full Control - Subject Prop. Operated as Afford. Hsng Desc</t>
  </si>
  <si>
    <t>PARTCONTROL_UNITS</t>
  </si>
  <si>
    <t>PARTCONTROL_SUPPORTING_DOC</t>
  </si>
  <si>
    <t>PARTCONTROL_CURR_OWNER_NAME</t>
  </si>
  <si>
    <t>PARTCONTROL_SELLER_NAME</t>
  </si>
  <si>
    <t>PARTCONTROL_ACQUISITION_DATE</t>
  </si>
  <si>
    <t>PARTCONTROL_PURCHASE_PRICE_AMT</t>
  </si>
  <si>
    <t>PARTCONTROL_SELLER_AFFILIATED_FLG</t>
  </si>
  <si>
    <t>PARTCONTROL_SELLER_RELATIONSHIP_DESC</t>
  </si>
  <si>
    <t>PARTCONTROL_PROP_OP_AH_FLG</t>
  </si>
  <si>
    <t>PARTCONTROL_PROP_OP_AH_DESC</t>
  </si>
  <si>
    <t>Site Control - Part Control - Units</t>
  </si>
  <si>
    <t>Site Control - Part Control - Supporting Document</t>
  </si>
  <si>
    <t>Site Control - Part Control - Current Owner or Lessee</t>
  </si>
  <si>
    <t>Site Control - Part Control - Name of Seller or Lessor</t>
  </si>
  <si>
    <t>Site Control - Part Control - Acquisition or Lease Date</t>
  </si>
  <si>
    <t>Site Control - Part Control - Purchase Price or Lease Price</t>
  </si>
  <si>
    <t>Site Control - Part Control - Sellor/Lessor Affiliated Indicator</t>
  </si>
  <si>
    <t>Site Control - Part Control - Sellor Affiliation Description</t>
  </si>
  <si>
    <t>Site Control - Part Control - Subject Prop. Operated as Afford. Hsng Indicator</t>
  </si>
  <si>
    <t>Site Control - Part Control - Subject Prop. Operated as Afford. Hsng Desc</t>
  </si>
  <si>
    <t>ZONING_CONFORMING_UNITS</t>
  </si>
  <si>
    <t>Zoning - Conforms with Zoning - Units</t>
  </si>
  <si>
    <t>Zoning - Does Not Conform with Zoning, but have Permit - Units</t>
  </si>
  <si>
    <t>ZONING_NONCONFORMING_UNITS</t>
  </si>
  <si>
    <t>BLDG_PERMIT_UNITS</t>
  </si>
  <si>
    <t>BLDG_PERMIT_READYLETTER_UNITS</t>
  </si>
  <si>
    <t>BLDG_PERMIT_READYLETTER_DATE</t>
  </si>
  <si>
    <t>BLDG_PERMIT_DATE</t>
  </si>
  <si>
    <t>Building Permit - Ready Letter Issued - Units</t>
  </si>
  <si>
    <t>Building Permit - Permit Issued/Ready - Units</t>
  </si>
  <si>
    <t>Building Permit - Permit Issued/Ready - Date</t>
  </si>
  <si>
    <t>Building Permit - Ready Letter Issued - Date</t>
  </si>
  <si>
    <t>Identified Homebuyers - Units</t>
  </si>
  <si>
    <t>Identified Homebuyers - Description</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</si>
  <si>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</si>
  <si>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</si>
  <si>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</si>
  <si>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</si>
  <si>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</si>
  <si>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</si>
  <si>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</si>
  <si>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</si>
  <si>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</si>
  <si>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</si>
  <si>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</si>
  <si>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</si>
  <si>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</si>
  <si>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</si>
  <si>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</si>
  <si>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</si>
  <si>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</si>
  <si>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</si>
  <si>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</si>
  <si>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</si>
  <si>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</si>
  <si>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</si>
  <si>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</si>
  <si>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</si>
  <si>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</si>
  <si>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</si>
  <si>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</si>
  <si>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</si>
  <si>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#206A</t>
  </si>
  <si>
    <t>Project Readiness</t>
  </si>
  <si>
    <t>$DB.LOOKUP.RANGE_FULLCONTROL_SUPPORTINGDOCS</t>
  </si>
  <si>
    <t>Policy of Title Insurance</t>
  </si>
  <si>
    <t>Executed Disposition and Development Agreement</t>
  </si>
  <si>
    <t>$DB.LOOKUP.RANGE_PARTCONTROL_SUPPORTINGDOCS</t>
  </si>
  <si>
    <t>Final Settlement Statement</t>
  </si>
  <si>
    <t>Escrow Instructions</t>
  </si>
  <si>
    <t>Purchase Agreement</t>
  </si>
  <si>
    <t>Purchase Option Agreement</t>
  </si>
  <si>
    <t>Land/Residential Lease with Purchase Option</t>
  </si>
  <si>
    <t>Lease Option Agreement</t>
  </si>
  <si>
    <t>SECTION_18</t>
  </si>
  <si>
    <t>SECTION_18_RANGE</t>
  </si>
  <si>
    <t>SECTION_18_DONE_COUNT</t>
  </si>
  <si>
    <t>SECTION_18_TOTAL_COUNT</t>
  </si>
  <si>
    <t>SECTION_18_ERROR_COUNT</t>
  </si>
  <si>
    <t>SECTION_18_PROGRESS_PERCENT</t>
  </si>
  <si>
    <t>SECTION_18_STATUS_TEXT</t>
  </si>
  <si>
    <t>SECTION_18_STATUS_CODE</t>
  </si>
  <si>
    <t>SECTION_18_TOC_LABEL</t>
  </si>
  <si>
    <t>SECTION_18_WARNING_COUNT</t>
  </si>
  <si>
    <t>SECTION_18_WARNING_FLAG</t>
  </si>
  <si>
    <t>Current Owner or Lessee</t>
  </si>
  <si>
    <t>Name of Seller or Lessor</t>
  </si>
  <si>
    <t>Acquisition or Lease Date</t>
  </si>
  <si>
    <t>Is the seller or lessor affiliated in any way with the owner or lessee or any other persons or entities involved in this project?</t>
  </si>
  <si>
    <t>Has the subject property been operated as affordable housing?</t>
  </si>
  <si>
    <t>Proposed Owner or Lessee</t>
  </si>
  <si>
    <t>Proposed Acquisition or Lease Date</t>
  </si>
  <si>
    <t>Is the seller or lessor affiliated in any way with the proposed owner or lessee or any other persons or entities involved in this project?</t>
  </si>
  <si>
    <t>A. Units Under Full Site Control</t>
  </si>
  <si>
    <t>B. Units Under Partial Site Control</t>
  </si>
  <si>
    <t>Number of units for which a building permit has been issued or is ready to be issued</t>
  </si>
  <si>
    <t>Most recent date of permit issuance (if multiple building sites, submit list specifying properties and respective dates)</t>
  </si>
  <si>
    <t>Number of units for which a building permit-ready letter has been issued</t>
  </si>
  <si>
    <t>Most recent date of permit-ready letter (if multiple building sites, submit list specifying properties and respective dates)</t>
  </si>
  <si>
    <t>PARTNERSHIP_FLG</t>
  </si>
  <si>
    <t>Limited Partnership - Indicator</t>
  </si>
  <si>
    <t>#137A</t>
  </si>
  <si>
    <t>ADDED BY TAPPAN,NOT IN ORIG SPEC</t>
  </si>
  <si>
    <t>$DB.LOOKUP.RANGE_SPONSOR_OWNERSHIP_BRACKET</t>
  </si>
  <si>
    <t>Less than or equal to 30%</t>
  </si>
  <si>
    <t>Greater than 50%</t>
  </si>
  <si>
    <t>Limited Partnership Ownership Interest Distribution</t>
  </si>
  <si>
    <t>Limited Partner (%)</t>
  </si>
  <si>
    <t>General Partner (%)</t>
  </si>
  <si>
    <t>Type</t>
  </si>
  <si>
    <t>Nonprofit</t>
  </si>
  <si>
    <t>Ownership Interest (%)</t>
  </si>
  <si>
    <t>$DB.LOOKUP.RANGE_GP_ORGTYPE</t>
  </si>
  <si>
    <t>For-profit</t>
  </si>
  <si>
    <t>$DB.LOOKUP.RANGE_COMMSTABILITY_CONSOLIDATED</t>
  </si>
  <si>
    <t>INFILL</t>
  </si>
  <si>
    <t>REUSE</t>
  </si>
  <si>
    <t>DEMO</t>
  </si>
  <si>
    <t>{INVALID}</t>
  </si>
  <si>
    <t>CS_REVITALIZING_A_CODE</t>
  </si>
  <si>
    <t>#207</t>
  </si>
  <si>
    <t>Community Stability</t>
  </si>
  <si>
    <t>Code Portion (numeric, based on radio)</t>
  </si>
  <si>
    <t>CS_REVITALIZING_A_RESULT</t>
  </si>
  <si>
    <t>Community Stability, Revitalizing Neighborhoods, Question A (Result)</t>
  </si>
  <si>
    <t>Community Stability, Revitalizing Neighborhoods, Question A (Code)</t>
  </si>
  <si>
    <t>Answer Portion (Exported)</t>
  </si>
  <si>
    <t>CS_REVITALIZING_B_CODE</t>
  </si>
  <si>
    <t>CS_REVITALIZING_B_RESULT</t>
  </si>
  <si>
    <t>Community Stability, Revitalizing Neighborhoods, Question B (Code)</t>
  </si>
  <si>
    <t>Community Stability, Revitalizing Neighborhoods, Question B (Result)</t>
  </si>
  <si>
    <t>#208</t>
  </si>
  <si>
    <t>BROWNFIELDS</t>
  </si>
  <si>
    <t>FORECLOSED</t>
  </si>
  <si>
    <t>REHAB</t>
  </si>
  <si>
    <t>#209</t>
  </si>
  <si>
    <t>CS_PLANNING_A_RESULT</t>
  </si>
  <si>
    <t>PRIORITY</t>
  </si>
  <si>
    <t>CS_PLANNING_A_CODE</t>
  </si>
  <si>
    <t>CS_SUSTAINABLE_A_CODE</t>
  </si>
  <si>
    <t>CS_SUSTAINABLE_A_RESULT</t>
  </si>
  <si>
    <t>Community Stability, Community Planning, Question A  (Code)</t>
  </si>
  <si>
    <t>Community Stability, Community Planning, Question A  (Result)</t>
  </si>
  <si>
    <t>Community Stability, Sustainable Dev, Question A (Code)</t>
  </si>
  <si>
    <t>Community Stability, Sustainable Dev, Question A (Result)</t>
  </si>
  <si>
    <t>#212</t>
  </si>
  <si>
    <t>LEED_SILVER</t>
  </si>
  <si>
    <t>LEED</t>
  </si>
  <si>
    <t>LEED_GOLD</t>
  </si>
  <si>
    <t>CS_DISPLACEMENT_A_CODE</t>
  </si>
  <si>
    <t>CS_DISPLACEMENT_A_RESULT</t>
  </si>
  <si>
    <t>Community Stability, Prev/Min Displacement, Question A (Code)</t>
  </si>
  <si>
    <t>Community Stability, Prev/Min Displacement, Question A (Result)</t>
  </si>
  <si>
    <t>#214</t>
  </si>
  <si>
    <t>NO_DISPLACEMENT</t>
  </si>
  <si>
    <t>MITIGATED_DISPLACEMENT</t>
  </si>
  <si>
    <t>UNMITIGATED_DISPLACEMENT</t>
  </si>
  <si>
    <t>CS_PROXIMITY_TRANSITLINES</t>
  </si>
  <si>
    <t>Community Stability, Proximity Transit/Amenities, # Transit Lines</t>
  </si>
  <si>
    <t>#210</t>
  </si>
  <si>
    <t>CS_PROXIMITY_AMENITIES</t>
  </si>
  <si>
    <t>Community Stability, Proximity Transit/Amenities, # Amenities</t>
  </si>
  <si>
    <t>#211</t>
  </si>
  <si>
    <t>CS_INTEGRATION_HOMEOWNEROP_FLG</t>
  </si>
  <si>
    <t>CS_INTEGRATION_CENSUSTRACTS_FLG</t>
  </si>
  <si>
    <t>Community Stability, Integration, Homeowner Opport. Indicator</t>
  </si>
  <si>
    <t>Community Stability, Integration, Mid+ Census Tract Indicator</t>
  </si>
  <si>
    <t>#213</t>
  </si>
  <si>
    <t>Option #2 (Multi-select)</t>
  </si>
  <si>
    <t>Option #1 (Multi-select)</t>
  </si>
  <si>
    <t>SECTION_19</t>
  </si>
  <si>
    <t>SECTION_19_RANGE</t>
  </si>
  <si>
    <t>SECTION_19_DONE_COUNT</t>
  </si>
  <si>
    <t>SECTION_19_TOTAL_COUNT</t>
  </si>
  <si>
    <t>SECTION_19_ERROR_COUNT</t>
  </si>
  <si>
    <t>SECTION_19_PROGRESS_PERCENT</t>
  </si>
  <si>
    <t>SECTION_19_STATUS_TEXT</t>
  </si>
  <si>
    <t>SECTION_19_STATUS_CODE</t>
  </si>
  <si>
    <t>SECTION_19_TOC_LABEL</t>
  </si>
  <si>
    <t>SECTION_19_WARNING_COUNT</t>
  </si>
  <si>
    <t>SECTION_19_WARNING_FLAG</t>
  </si>
  <si>
    <t># UNITS</t>
  </si>
  <si>
    <t>TEXT DESCRIPTION (REMOVED)</t>
  </si>
  <si>
    <t>Development on an Infill Site</t>
  </si>
  <si>
    <t xml:space="preserve">Adaptive Reuse of Non-residential Buildings or Structures </t>
  </si>
  <si>
    <t>Not Applicable</t>
  </si>
  <si>
    <t xml:space="preserve">Priority Development Areas </t>
  </si>
  <si>
    <t>3. Proximity to Transit and Amenities</t>
  </si>
  <si>
    <t>4. Sustainable Developments</t>
  </si>
  <si>
    <t>Documentation requirement: Documentation from certifying agency, organization, certified HERS rater, or certified GreenPoint rater must be provided upon project completion.</t>
  </si>
  <si>
    <t>5. Homeownership and Economic Integration</t>
  </si>
  <si>
    <t>Creation of Affordable Homeownership Opportunities</t>
  </si>
  <si>
    <t>6. Preventing or Minimizing Household Displacement</t>
  </si>
  <si>
    <t>Displacement with No Mitigation</t>
  </si>
  <si>
    <t>GP_ORG_TYPE</t>
  </si>
  <si>
    <t>General Partner (Non-Profit Sponsor) - Organization Type</t>
  </si>
  <si>
    <t>#139A</t>
  </si>
  <si>
    <t>VOTING_INTEREST_TTL</t>
  </si>
  <si>
    <t>OWNERSHIP_INTEREST_TTL</t>
  </si>
  <si>
    <t>General Partner - Total Voting Interest</t>
  </si>
  <si>
    <t>General Partner - Total Ownership Interest</t>
  </si>
  <si>
    <t>#148A</t>
  </si>
  <si>
    <t>#148B</t>
  </si>
  <si>
    <t>Totals</t>
  </si>
  <si>
    <t>SECTION_20</t>
  </si>
  <si>
    <t>SECTION_20_RANGE</t>
  </si>
  <si>
    <t>SECTION_20_DONE_COUNT</t>
  </si>
  <si>
    <t>SECTION_20_TOTAL_COUNT</t>
  </si>
  <si>
    <t>SECTION_20_ERROR_COUNT</t>
  </si>
  <si>
    <t>SECTION_20_PROGRESS_PERCENT</t>
  </si>
  <si>
    <t>SECTION_20_STATUS_TEXT</t>
  </si>
  <si>
    <t>SECTION_20_STATUS_CODE</t>
  </si>
  <si>
    <t>SECTION_20_TOC_LABEL</t>
  </si>
  <si>
    <t>SECTION_20_WARNING_COUNT</t>
  </si>
  <si>
    <t>SECTION_20_WARNING_FLAG</t>
  </si>
  <si>
    <t>a.   The potential homebuyer or spouse has had no ownership in a principal residence for a three-year period ending
       on the purchase date of the property. If either qualifies under one of these requirements, both are considered
       First-Time Homebuyers.
b.   The potential homebuyer is a single parent who has only owned a home with a former spouse while they were
       married.
c.    The potential homebuyer is a displaced homemaker who has only owned a home with a spouse.
d.   The potential homebuyer is an individual who has only owned a principal residence not permanently affixed to a
       permanent foundation, according to applicable regulations.
e.   The potential homebuyer is an individual who has only owned a property that was not in compliance with state
       or local building codes and which cannot be brought into compliance for less than the cost of constructing a
       permanent structure.</t>
  </si>
  <si>
    <t>Number of Units Reserved for First-Time Homebuyers</t>
  </si>
  <si>
    <t>Self-help housing</t>
  </si>
  <si>
    <t>Write down the interest rate on a home mortgage?</t>
  </si>
  <si>
    <t>Pay homebuyer closing costs?</t>
  </si>
  <si>
    <t>Pay homebuyer counseling costs?</t>
  </si>
  <si>
    <t>Fund a loan pool?</t>
  </si>
  <si>
    <t>Capitalize a revolving loan fund?</t>
  </si>
  <si>
    <t xml:space="preserve">To qualify as a nonprofit sponsor of an owner-occupied project, an entity must be integrally involved by exercising control over the planning, development, or management of the project, or by qualifying borrowers and providing or arranging  financing for the owners of the units. </t>
  </si>
  <si>
    <t xml:space="preserve">Contributions should consist of a minimum of 250 hours of activities required of the homebuyers or their families directly related to the construction of the home. </t>
  </si>
  <si>
    <t>Site Control</t>
  </si>
  <si>
    <t>Building Permit Readiness Issuance</t>
  </si>
  <si>
    <t>Identified Homebuyers</t>
  </si>
  <si>
    <t>Number of homebuyers identified as potential purchasers of the owner-occupied units</t>
  </si>
  <si>
    <t>Name of Project*</t>
  </si>
  <si>
    <t>Member Name*</t>
  </si>
  <si>
    <t>Member Contact Name*</t>
  </si>
  <si>
    <t>Email Address*</t>
  </si>
  <si>
    <t>Sponsor Name*</t>
  </si>
  <si>
    <t>Sponsor Contact Name*</t>
  </si>
  <si>
    <t>Single-family or multifamily</t>
  </si>
  <si>
    <t>Scattered site</t>
  </si>
  <si>
    <t>New construction</t>
  </si>
  <si>
    <t>Mixed-use (includes revenue-generating commercial space)</t>
  </si>
  <si>
    <t>Acquisition Price</t>
  </si>
  <si>
    <t>Type of Sponsor Organization</t>
  </si>
  <si>
    <t>DEVPARTNER1_NAME</t>
  </si>
  <si>
    <t>DEVPARTNER2_NAME</t>
  </si>
  <si>
    <t>DEVPARTNER1_ORG_TYPE_TAX_STATUS_DESC</t>
  </si>
  <si>
    <t>DEVPARTNER2_ORG_TYPE_TAX_STATUS_DESC</t>
  </si>
  <si>
    <t>General Partner (Non-Profit Sponsor) - Organization Name</t>
  </si>
  <si>
    <t>#139B</t>
  </si>
  <si>
    <t>GP_NAME</t>
  </si>
  <si>
    <t>Developer Fee Distribution</t>
  </si>
  <si>
    <t>Recovery From Substance Abuse</t>
  </si>
  <si>
    <t>The conversion to residential use of non-residential buildings or structures such as, but not limited to, warehouses, schools, hotels, and hospitals.
Documentation requirement: A photo of the existing property and other third party documentation validating the previous use.</t>
  </si>
  <si>
    <t xml:space="preserve">Pre-purchase counseling services should include core curriculum such as credit counseling, budgeting, money management, and predatory lending awareness and prevention counseling. Post-purchase counseling services should include core curriculum such as budgeting, maintaining good credit, calculating and understanding home equity, retirement savings, and foreclosure prevention. Pre-and post-purchase counseling should include workshops such as home maintenance, repair, and improvements. </t>
  </si>
  <si>
    <t>$DB.LOOKUP.RANGE_FULLCONTROL_SUPPORTINGDOCS_OWNER</t>
  </si>
  <si>
    <t>$DB.LOOKUP.RANGE_PARTCONTROL_SUPPORTINGDOCS_OWNER</t>
  </si>
  <si>
    <t>Land Lease with Purchase Option</t>
  </si>
  <si>
    <t>INCOME_RESTRICTED_TBL_ROW11_UNITS</t>
  </si>
  <si>
    <t>INCOME_RESTRICTED_TBL_ROW12_UNITS</t>
  </si>
  <si>
    <t>Targeting - Income Restricted Units Table - Row 11 - Units</t>
  </si>
  <si>
    <t>Targeting - Income Restricted Units Table - Row 12 - Units</t>
  </si>
  <si>
    <t>INCOME_RESTRICTED_TBL_ROW11_AMI</t>
  </si>
  <si>
    <t>INCOME_RESTRICTED_TBL_ROW12_AMI</t>
  </si>
  <si>
    <t>Targeting - Income Restricted Units Table - Row 11 - AMI</t>
  </si>
  <si>
    <t>Targeting - Income Restricted Units Table - Row 12 - AMI</t>
  </si>
  <si>
    <t>ADDED IN R2</t>
  </si>
  <si>
    <t>Single-family</t>
  </si>
  <si>
    <t>AZ,CA</t>
  </si>
  <si>
    <t>Field Symbol Legend:</t>
  </si>
  <si>
    <t xml:space="preserve">Points will be awarded to projects based on the extent to which, at the time of application, they have documented that they have met certain development benchmarks, including site control and entitlements, and other benchmarks as may be applicable to the project.  Completed projects, defined as projects that have received their Final Certificates of Occupancy, Notices of Completion, or final building permits, are not eligible to apply for AHP subsidy.  </t>
  </si>
  <si>
    <t>DEADLINE_TEXT</t>
  </si>
  <si>
    <t>SUBMISSION_DEADLINE</t>
  </si>
  <si>
    <t>Application Submission Deadline</t>
  </si>
  <si>
    <t>Valid Entry</t>
  </si>
  <si>
    <t>Invalid Entry</t>
  </si>
  <si>
    <t>No Entry Required</t>
  </si>
  <si>
    <t>ZIP Code</t>
  </si>
  <si>
    <t>* Information provided must match information supplied by the applicant on the Workspace Set-up Form</t>
  </si>
  <si>
    <t>Subsidy amount must match the subsidy listed on the financial worksheets.</t>
  </si>
  <si>
    <t>Prior Subsidy Award</t>
  </si>
  <si>
    <t>Prior Award Amount</t>
  </si>
  <si>
    <t>Subsidized Advance Requested</t>
  </si>
  <si>
    <t>Advance Amount</t>
  </si>
  <si>
    <t>All approved requests for subsidized advances will be considered advance commitments and will be subject to the terms and conditions, including applicable cancellation and prepayment fees, of the Advances and Security Agreement between the member institution and the FHLBank San Francisco. The repayment and amortization terms of the subsidized advance must match those of the member institution’s loan to the project.</t>
  </si>
  <si>
    <t>Concurrent Submissions to Other FHLBanks</t>
  </si>
  <si>
    <t>If this project is concurrently applying for AHP Subsidy at another FHLBank, which FHLBank:</t>
  </si>
  <si>
    <t>Project Name(s) of concurrent application(s)</t>
  </si>
  <si>
    <t>Subsidy Amount Requested</t>
  </si>
  <si>
    <t>Has an application for this project been unsuccessfully submitted in a previous AHP competition?</t>
  </si>
  <si>
    <t>Has the project sponsor (or representative) received technical assistance from the Federal Home Loan Bank of San Francisco to re-apply for AHP subsidy in the current competition?</t>
  </si>
  <si>
    <t>Indicate whether the space is revenue-generating and describe its proposed use:</t>
  </si>
  <si>
    <t>Will the project directly create permanent non-construction jobs?</t>
  </si>
  <si>
    <t>Market Feasibility</t>
  </si>
  <si>
    <t>During which phase of the project will the subsidy be disbursed?</t>
  </si>
  <si>
    <t>Will the AHP funds:</t>
  </si>
  <si>
    <t>If yes is the answer to any of the three questions above, describe the terms of the transactions.</t>
  </si>
  <si>
    <t>The purchase price of property or services, as reflected in the project's development budget, sold to the project by a member providing AHP subsidy to the project, or, in the case of property, upon which such member holds a mortgage or lien, may not exceed the market value of such property or services as of the date the purchase price was agreed upon. In the case of real estate owned property sold to a project by a member providing AHP subsidy to the project, or property sold to the project upon which the member holds a mortgage or lien, the market value of such property is deemed to be the “as-is” or “as-rehabilitated” value of the property, whichever is appropriate. That value shall be reflected in an independent appraisal of the property performed by a state certified or licensed appraiser, as defined in 12 CFR 564.2(j) and (k), within 6 months prior to the date the Bank disburses AHP subsidy to the project.</t>
  </si>
  <si>
    <t>Sponsor Organization Type and Tax Status</t>
  </si>
  <si>
    <t>Organization’s Name (If no development partner, leave blank.)</t>
  </si>
  <si>
    <t>Organization Type and Tax Status</t>
  </si>
  <si>
    <t>Roles and Responsibilities in the Project</t>
  </si>
  <si>
    <t>Total Manager Unit(s)</t>
  </si>
  <si>
    <t>How many units in the project will be donated or conveyed to the project at no cost or for a nominal price of $1,000 or less?</t>
  </si>
  <si>
    <t>Term of Lease (Enter "n/a" if no lease and $0 in annual lease payment.)</t>
  </si>
  <si>
    <t>Appraisal Valuation Date</t>
  </si>
  <si>
    <t>Appraised Fair Market Value</t>
  </si>
  <si>
    <t>Appraisal must have been ordered by and for the benefit of an institutional lender and/or public agency for the purpose of providing financing to the buyer of the property. Appraisal valuation date must be within six months of acquisition agreement date. To qualify for points, the discounted sales price must be 20% or less of fair market value.</t>
  </si>
  <si>
    <t>Indicate the type of entity donating or conveying the property:</t>
  </si>
  <si>
    <t>If this is a nonprofit organization, submit supporting 501(c)(3) documentation with the application.</t>
  </si>
  <si>
    <t>Is the project, or will it be, owned by a limited partnership?</t>
  </si>
  <si>
    <t>Is the nonprofit sponsor integrally involved in:</t>
  </si>
  <si>
    <t>Project Planning and Design?</t>
  </si>
  <si>
    <t>Project Development?</t>
  </si>
  <si>
    <t>Construction?</t>
  </si>
  <si>
    <t>Units must be held vacant until occupied by a homeless household. For transitional housing, enter the number of projected households as the number of units.</t>
  </si>
  <si>
    <t>Points will not be awarded if: 1) less than 20% of the total project units and 2) the governmental entity designating the project as rural is not provided. Submit supporting documentation from the governmental entity with the application.</t>
  </si>
  <si>
    <t>Units Under Full Site Control</t>
  </si>
  <si>
    <t>Purchase or Annual Lease Price $</t>
  </si>
  <si>
    <t>Units Under Partial Site Control</t>
  </si>
  <si>
    <t>Proposed Purchase or Annual Lease Price $</t>
  </si>
  <si>
    <t xml:space="preserve">Describe the project's feasibility, including local market conditions that would justify the project. </t>
  </si>
  <si>
    <t>Projects may submit a third-party market study, a third-party market analysis, or a sponsor-prepared market analysis. All market studies and analyses must have been completed or updated within twelve months of application submission. The market study or analysis must be comprehensive and include: a description of the primary and, if applicable, secondary market area and the rationale for market area boundaries; a description of neighborhood conditions, including land uses and, for single-site projects, the use and status of adjacent properties; demographic and economic conditions; a discussion and analysis of housing supply, including recent sales data and concurrently planned comparable projects; a discussion and analysis of housing demand, including the number of households by household size with incomes sufficient to afford the average monthly mortgage payment for proposed units and also with incomes less than the target AMI indicated on the Owner-Occupied Project Benchmarks worksheet; the availability of housing counseling and education services and local lending institutions; the projected absorption rates of the constructed units; how the project sponsor plans to market the units; and a summary of project strengths and weaknesses. For more information, please see “AHP Owner-Occupied Project Market Study Guidelines."</t>
  </si>
  <si>
    <t>Project Financing?</t>
  </si>
  <si>
    <t>Management of Self-help Households?</t>
  </si>
  <si>
    <t>Pre-purchase Counseling?</t>
  </si>
  <si>
    <t>Post-purchase Counseling?</t>
  </si>
  <si>
    <t>Qualification of Homebuyers?</t>
  </si>
  <si>
    <t>The primary nonprofit project sponsor must receive at least 25% of any and all developer fee distributions.</t>
  </si>
  <si>
    <t>2. Pre-and Post-purchase Homeownership Counseling</t>
  </si>
  <si>
    <t>3.  Sweat Equity Contribution/Self-help</t>
  </si>
  <si>
    <t>5. On-site Child Daycare Services or Programs</t>
  </si>
  <si>
    <t>6. After-school Care or Out-of-school Services or Programs</t>
  </si>
  <si>
    <t>7. Bona Fide Service Coordinator/Social Worker Available</t>
  </si>
  <si>
    <t>Is this project a downpayment assistance program for purchase of existing homes?</t>
  </si>
  <si>
    <t>Project must increase affordable homeownership opportunities in the targeted area.  
Documentation Requirements: None.</t>
  </si>
  <si>
    <t xml:space="preserve">Points will be awarded to projects based on the extent to which, at the time of application, they have documented that they have met certain development benchmarks, including site control and entitlements, and other benchmarks as may be applicable to the project. </t>
  </si>
  <si>
    <t>Telephone  (Including Area Code)</t>
  </si>
  <si>
    <r>
      <t xml:space="preserve">Select </t>
    </r>
    <r>
      <rPr>
        <b/>
        <u/>
        <sz val="9"/>
        <color theme="1"/>
        <rFont val="Arial"/>
        <family val="2"/>
      </rPr>
      <t>one</t>
    </r>
    <r>
      <rPr>
        <b/>
        <sz val="9"/>
        <color theme="1"/>
        <rFont val="Arial"/>
        <family val="2"/>
      </rPr>
      <t xml:space="preserve"> of the following four options, as applicable to the project:</t>
    </r>
  </si>
  <si>
    <r>
      <t xml:space="preserve">Select </t>
    </r>
    <r>
      <rPr>
        <b/>
        <u/>
        <sz val="9"/>
        <color theme="1"/>
        <rFont val="Arial"/>
        <family val="2"/>
      </rPr>
      <t>one</t>
    </r>
    <r>
      <rPr>
        <b/>
        <sz val="9"/>
        <color theme="1"/>
        <rFont val="Arial"/>
        <family val="2"/>
      </rPr>
      <t xml:space="preserve"> of the following three options, as applicable to the project:</t>
    </r>
  </si>
  <si>
    <r>
      <t xml:space="preserve">Select </t>
    </r>
    <r>
      <rPr>
        <b/>
        <u/>
        <sz val="9"/>
        <color theme="1"/>
        <rFont val="Arial"/>
        <family val="2"/>
      </rPr>
      <t>one or both</t>
    </r>
    <r>
      <rPr>
        <b/>
        <sz val="9"/>
        <color theme="1"/>
        <rFont val="Arial"/>
        <family val="2"/>
      </rPr>
      <t xml:space="preserve"> of the following two options, as applicable to the project:</t>
    </r>
  </si>
  <si>
    <r>
      <rPr>
        <b/>
        <sz val="10"/>
        <color theme="1"/>
        <rFont val="Arial"/>
        <family val="2"/>
      </rPr>
      <t>If yes,</t>
    </r>
    <r>
      <rPr>
        <sz val="10"/>
        <color theme="1"/>
        <rFont val="Arial"/>
        <family val="2"/>
      </rPr>
      <t xml:space="preserve"> project name of previous submission</t>
    </r>
  </si>
  <si>
    <r>
      <rPr>
        <b/>
        <sz val="10"/>
        <color theme="1"/>
        <rFont val="Arial"/>
        <family val="2"/>
      </rPr>
      <t>If yes</t>
    </r>
    <r>
      <rPr>
        <sz val="10"/>
        <color theme="1"/>
        <rFont val="Arial"/>
        <family val="2"/>
      </rPr>
      <t>, application round or date of previous submission</t>
    </r>
  </si>
  <si>
    <r>
      <t xml:space="preserve">Commercial Space </t>
    </r>
    <r>
      <rPr>
        <sz val="10"/>
        <color theme="1"/>
        <rFont val="Arial"/>
        <family val="2"/>
      </rPr>
      <t>(in mixed-use projects)</t>
    </r>
  </si>
  <si>
    <r>
      <t xml:space="preserve">Job Creation </t>
    </r>
    <r>
      <rPr>
        <sz val="10"/>
        <color theme="1"/>
        <rFont val="Arial"/>
        <family val="2"/>
      </rPr>
      <t>(non-construction)</t>
    </r>
  </si>
  <si>
    <r>
      <rPr>
        <b/>
        <sz val="10"/>
        <color theme="1"/>
        <rFont val="Arial"/>
        <family val="2"/>
      </rPr>
      <t>If yes</t>
    </r>
    <r>
      <rPr>
        <sz val="10"/>
        <color theme="1"/>
        <rFont val="Arial"/>
        <family val="2"/>
      </rPr>
      <t>, how many full time jobs?</t>
    </r>
  </si>
  <si>
    <r>
      <rPr>
        <b/>
        <sz val="10"/>
        <color theme="1"/>
        <rFont val="Arial"/>
        <family val="2"/>
      </rPr>
      <t>If yes</t>
    </r>
    <r>
      <rPr>
        <sz val="10"/>
        <color theme="1"/>
        <rFont val="Arial"/>
        <family val="2"/>
      </rPr>
      <t xml:space="preserve">, is the financing a bridge loan? </t>
    </r>
  </si>
  <si>
    <r>
      <rPr>
        <b/>
        <sz val="10"/>
        <color theme="1"/>
        <rFont val="Arial"/>
        <family val="2"/>
      </rPr>
      <t>If yes</t>
    </r>
    <r>
      <rPr>
        <sz val="10"/>
        <color theme="1"/>
        <rFont val="Arial"/>
        <family val="2"/>
      </rPr>
      <t>, is the financing a construction loan?</t>
    </r>
  </si>
  <si>
    <r>
      <rPr>
        <b/>
        <sz val="10"/>
        <color theme="1"/>
        <rFont val="Arial"/>
        <family val="2"/>
      </rPr>
      <t>If yes</t>
    </r>
    <r>
      <rPr>
        <sz val="10"/>
        <color theme="1"/>
        <rFont val="Arial"/>
        <family val="2"/>
      </rPr>
      <t>, is the financing a permanent loan?</t>
    </r>
  </si>
  <si>
    <r>
      <rPr>
        <b/>
        <sz val="10"/>
        <color theme="1"/>
        <rFont val="Arial"/>
        <family val="2"/>
      </rPr>
      <t>If yes</t>
    </r>
    <r>
      <rPr>
        <sz val="10"/>
        <color theme="1"/>
        <rFont val="Arial"/>
        <family val="2"/>
      </rPr>
      <t>, explain how this qualifies as an arms-length transaction:</t>
    </r>
  </si>
  <si>
    <r>
      <t xml:space="preserve">In order to qualify for points, the units must be held vacant unless a household with that special need occupies the unit. A unit may not be counted in more than one special needs category. </t>
    </r>
    <r>
      <rPr>
        <b/>
        <sz val="10"/>
        <color theme="1"/>
        <rFont val="Arial"/>
        <family val="2"/>
      </rPr>
      <t xml:space="preserve">Points will not be awarded if less than 20% of the total project units are reserved for special needs households. </t>
    </r>
  </si>
  <si>
    <r>
      <rPr>
        <b/>
        <sz val="10"/>
        <color theme="1"/>
        <rFont val="Arial"/>
        <family val="2"/>
      </rPr>
      <t>If yes</t>
    </r>
    <r>
      <rPr>
        <sz val="10"/>
        <color theme="1"/>
        <rFont val="Arial"/>
        <family val="2"/>
      </rPr>
      <t>, describe the relationship.  If the project is not financed with LIHTCs, also provide an appraisal for the property.</t>
    </r>
  </si>
  <si>
    <t>Submit documentation for each parcel, with street addresses corresponding to assessor parcel numbers, if the project involves multiple sites.  Points will not be awarded without supporting documents.</t>
  </si>
  <si>
    <r>
      <rPr>
        <b/>
        <sz val="10"/>
        <color theme="1"/>
        <rFont val="Arial"/>
        <family val="2"/>
      </rPr>
      <t>If yes</t>
    </r>
    <r>
      <rPr>
        <sz val="10"/>
        <color theme="1"/>
        <rFont val="Arial"/>
        <family val="2"/>
      </rPr>
      <t xml:space="preserve">, describe the relationship. If the project is not financed with LIHTCs, also provide an appraisal for the property: </t>
    </r>
  </si>
  <si>
    <r>
      <t>If homebuyers have been identified, submit a list of identified qualified homebuyers, including name, current address, family size, and household income.</t>
    </r>
    <r>
      <rPr>
        <b/>
        <sz val="9"/>
        <color theme="1"/>
        <rFont val="Arial"/>
        <family val="2"/>
      </rPr>
      <t xml:space="preserve"> Points will not be awarded for homebuyers whose incomes exceed the income targets or do not qualify for mortgage amounts necessary to purchase homes for this project</t>
    </r>
    <r>
      <rPr>
        <sz val="9"/>
        <color theme="1"/>
        <rFont val="Arial"/>
        <family val="2"/>
      </rPr>
      <t xml:space="preserve"> </t>
    </r>
    <r>
      <rPr>
        <b/>
        <sz val="9"/>
        <color theme="1"/>
        <rFont val="Arial"/>
        <family val="2"/>
      </rPr>
      <t>as specified in Owner-Occupied Projects: Targeting &amp; Financial Sources Worksheet.</t>
    </r>
  </si>
  <si>
    <r>
      <rPr>
        <b/>
        <sz val="10"/>
        <color theme="1"/>
        <rFont val="Arial"/>
        <family val="2"/>
      </rPr>
      <t>If yes</t>
    </r>
    <r>
      <rPr>
        <sz val="10"/>
        <color theme="1"/>
        <rFont val="Arial"/>
        <family val="2"/>
      </rPr>
      <t>, is the financing a home mortgage?</t>
    </r>
  </si>
  <si>
    <r>
      <rPr>
        <b/>
        <sz val="10"/>
        <color theme="1"/>
        <rFont val="Arial"/>
        <family val="2"/>
      </rPr>
      <t>Points will not be awarded if less than 20% of the total project units are reserved for first-time homebuyers.</t>
    </r>
    <r>
      <rPr>
        <sz val="10"/>
        <color theme="1"/>
        <rFont val="Arial"/>
        <family val="2"/>
      </rPr>
      <t xml:space="preserve">
First-time homebuyers must meet one of the following requirements to qualify:</t>
    </r>
  </si>
  <si>
    <r>
      <rPr>
        <b/>
        <sz val="10"/>
        <color theme="1"/>
        <rFont val="Arial"/>
        <family val="2"/>
      </rPr>
      <t>If yes</t>
    </r>
    <r>
      <rPr>
        <sz val="10"/>
        <color theme="1"/>
        <rFont val="Arial"/>
        <family val="2"/>
      </rPr>
      <t>, describe the relationship. Please provide an appraisal for the property.</t>
    </r>
  </si>
  <si>
    <r>
      <rPr>
        <b/>
        <sz val="10"/>
        <color theme="1"/>
        <rFont val="Arial"/>
        <family val="2"/>
      </rPr>
      <t>If yes</t>
    </r>
    <r>
      <rPr>
        <sz val="10"/>
        <color theme="1"/>
        <rFont val="Arial"/>
        <family val="2"/>
      </rPr>
      <t>, describe the relationship. Submit an appraisal for the property.</t>
    </r>
  </si>
  <si>
    <t>Submission Deadline Message:</t>
  </si>
  <si>
    <t>Unit income targeting information provided in this section must match the unit income targeting information on the financial worksheets.</t>
  </si>
  <si>
    <t>Units Restricted to 80% AMI or Below</t>
  </si>
  <si>
    <t>Units Not Restricted to 80% AMI or Below</t>
  </si>
  <si>
    <t>Controlling Interest Distribution of General Partner(s)</t>
  </si>
  <si>
    <t>General Partner Name(s)</t>
  </si>
  <si>
    <t>PROJ_APN_LIST</t>
  </si>
  <si>
    <t>Project APN # List</t>
  </si>
  <si>
    <t>ADDED 2016 OCT (FOR 2017 ROUND)</t>
  </si>
  <si>
    <t>Assessor's Parcel Number (for each project parcel, if available)</t>
  </si>
  <si>
    <t>USDA_FINANCE_FLG</t>
  </si>
  <si>
    <t>USDA_FINANCE_DESC</t>
  </si>
  <si>
    <t>USDA Financing Flag</t>
  </si>
  <si>
    <t>USDA Financing Description</t>
  </si>
  <si>
    <t>Is the project using financing through a USDA program?</t>
  </si>
  <si>
    <r>
      <rPr>
        <b/>
        <sz val="10"/>
        <color theme="1"/>
        <rFont val="Arial"/>
        <family val="2"/>
      </rPr>
      <t>If yes</t>
    </r>
    <r>
      <rPr>
        <sz val="10"/>
        <color theme="1"/>
        <rFont val="Arial"/>
        <family val="2"/>
      </rPr>
      <t>, specify which USDA program:</t>
    </r>
  </si>
  <si>
    <t>CHAR_LIMIT_SMALL</t>
  </si>
  <si>
    <t>Narrative Char Limit - Small</t>
  </si>
  <si>
    <t>CHAR_LIMIT_MEDIUM</t>
  </si>
  <si>
    <t>CHAR_LIMIT_LARGE</t>
  </si>
  <si>
    <t>CHAR_LIMIT_XLARGE</t>
  </si>
  <si>
    <t>Narrative Char Limit - Medium</t>
  </si>
  <si>
    <t>Narrative Char Limit - Large</t>
  </si>
  <si>
    <t>Narrative Char Limit - X-Large</t>
  </si>
  <si>
    <t>Narrative Text Limits</t>
  </si>
  <si>
    <t>Small Narrative Field Character Limit</t>
  </si>
  <si>
    <t>Medium Narrative Field Character Limit</t>
  </si>
  <si>
    <t>Large Narrative Field Character Limit</t>
  </si>
  <si>
    <t>Extra-Large Narrative Field Character Limit</t>
  </si>
  <si>
    <t>CHAR_LIMIT_TEMPLATE_ERR</t>
  </si>
  <si>
    <t>CHAR_LIMIT_TEMPLATE</t>
  </si>
  <si>
    <t>Narrative Limit Template</t>
  </si>
  <si>
    <t>Narrative Limit Template Error</t>
  </si>
  <si>
    <t>[diff] character(s) remaining</t>
  </si>
  <si>
    <t>options: diff, limit, used</t>
  </si>
  <si>
    <t>Error: [diff] character(s) over</t>
  </si>
  <si>
    <t>[used] of [limit] character(s) used</t>
  </si>
  <si>
    <t>Provide a concise description of the project. Describe how the project meets a local community need, how the need for the</t>
  </si>
  <si>
    <t>project was determined, and any special project features.</t>
  </si>
  <si>
    <t xml:space="preserve">Explain how the project affirmatively promotes fair housing and complies with fair housing laws and regulations. If available, </t>
  </si>
  <si>
    <t>submit affirmative marketing materials with the application.</t>
  </si>
  <si>
    <t>Sponsor's Financial Interest in the Project (Qualified rental project sponsorship must entail an ownership or controlling interest,</t>
  </si>
  <si>
    <t>including any partnership interest.)</t>
  </si>
  <si>
    <t xml:space="preserve">Describe the homeless program, including outreach activities, referral agencies used, and intake processes. Homeless units </t>
  </si>
  <si>
    <t>must reflect appropriate income targets and rent levels.</t>
  </si>
  <si>
    <r>
      <rPr>
        <b/>
        <sz val="10"/>
        <color theme="1"/>
        <rFont val="Arial"/>
        <family val="2"/>
      </rPr>
      <t>If yes</t>
    </r>
    <r>
      <rPr>
        <sz val="10"/>
        <color theme="1"/>
        <rFont val="Arial"/>
        <family val="2"/>
      </rPr>
      <t xml:space="preserve">, indicate date that property was placed in service as affordable housing and the organization operating the project as </t>
    </r>
  </si>
  <si>
    <t>affordable housing.</t>
  </si>
  <si>
    <t xml:space="preserve">Provide a concise description of the project. Describe how the project meets a local community need, how the need for the </t>
  </si>
  <si>
    <t xml:space="preserve">Describe the project's feasibility, including local market conditions that would justify the project. Owner-occupied new </t>
  </si>
  <si>
    <t xml:space="preserve">construction projects (excluding self-help construction) are also required to submit the project’s market study or market </t>
  </si>
  <si>
    <t xml:space="preserve">analysis. </t>
  </si>
  <si>
    <t>must reflect appropriate income targets.</t>
  </si>
  <si>
    <t>Most Recent Development Experience</t>
  </si>
  <si>
    <t>Year Completed</t>
  </si>
  <si>
    <t># of Units</t>
  </si>
  <si>
    <t>Population Served</t>
  </si>
  <si>
    <t>Financing Sources</t>
  </si>
  <si>
    <t>$DB.LOOKUP.RANGE_PROJECTYPE_DROPDOWN</t>
  </si>
  <si>
    <t>Owner-occupied</t>
  </si>
  <si>
    <t>Rental</t>
  </si>
  <si>
    <t>Concurrently Planned/Developed Projects</t>
  </si>
  <si>
    <t>Sponsor's Role and Responsibilities in the Project (If primary sponsor is a nonprofit, description must show that the nonprofit assumes integral responsibilities such as project planning and design, project development, construction, property</t>
  </si>
  <si>
    <t>management and securing development financing or other funding commitments).</t>
  </si>
  <si>
    <t>SCATTERED_SITE_ALLINDISTRICT_FLAG</t>
  </si>
  <si>
    <t>Scattered Site All In District Indicator</t>
  </si>
  <si>
    <t>ADDED 2016 DEC (FOR 2017 ROUND)</t>
  </si>
  <si>
    <t>PROJ_STATE_IN_DISTRICT_FLG</t>
  </si>
  <si>
    <t>Project Address - State - In District Flag</t>
  </si>
  <si>
    <t>#NOID</t>
  </si>
  <si>
    <t>IN_DISTRICT</t>
  </si>
  <si>
    <t>In-District - Project in District Flag</t>
  </si>
  <si>
    <t>In-District</t>
  </si>
  <si>
    <t>In-District Projects</t>
  </si>
  <si>
    <t>All units are located in the Bank’s district comprised of Arizona, California, and Nevada</t>
  </si>
  <si>
    <t>SECTION_21</t>
  </si>
  <si>
    <t>SECTION_21_RANGE</t>
  </si>
  <si>
    <t>SECTION_21_DONE_COUNT</t>
  </si>
  <si>
    <t>SECTION_21_TOTAL_COUNT</t>
  </si>
  <si>
    <t>SECTION_21_ERROR_COUNT</t>
  </si>
  <si>
    <t>SECTION_21_PROGRESS_PERCENT</t>
  </si>
  <si>
    <t>SECTION_21_STATUS_TEXT</t>
  </si>
  <si>
    <t>SECTION_21_STATUS_CODE</t>
  </si>
  <si>
    <t>SECTION_21_TOC_LABEL</t>
  </si>
  <si>
    <t>SECTION_21_WARNING_COUNT</t>
  </si>
  <si>
    <t>SECTION_21_WARNING_FLAG</t>
  </si>
  <si>
    <t>REDEVELOPMENT</t>
  </si>
  <si>
    <t>FEDERAL</t>
  </si>
  <si>
    <t>Redevelopment Areas</t>
  </si>
  <si>
    <t>Federal Place-Based Initiative Areas</t>
  </si>
  <si>
    <r>
      <t xml:space="preserve">Indicate the number of units </t>
    </r>
    <r>
      <rPr>
        <b/>
        <sz val="10"/>
        <color theme="1"/>
        <rFont val="Arial"/>
        <family val="2"/>
      </rPr>
      <t>reserved</t>
    </r>
    <r>
      <rPr>
        <sz val="10"/>
        <color theme="1"/>
        <rFont val="Arial"/>
        <family val="2"/>
      </rPr>
      <t xml:space="preserve"> for homeless households. Homeless housing includes transitional housing (excluding overnight shelters) for homeless households that require a minimum of six months occupancy, or permanent owner-occupied or rental housing (excluding overnight shelters) that reserve at least 20% of the units for homeless households. </t>
    </r>
    <r>
      <rPr>
        <b/>
        <sz val="10"/>
        <color theme="1"/>
        <rFont val="Arial"/>
        <family val="2"/>
      </rPr>
      <t>Points will not be awarded if: 1) less than 20% of the total project units are reserved for homeless households, 2) reserved units are for those considered “at-risk” of homelessness, or 3) length of residency is less than 6 months.</t>
    </r>
    <r>
      <rPr>
        <sz val="10"/>
        <color theme="1"/>
        <rFont val="Arial"/>
        <family val="2"/>
      </rPr>
      <t xml:space="preserve">
The Bank fully defines “homeless households” in its Implementation Plan, which should be reviewed prior to requesting homeless housing points. Homeless households means: </t>
    </r>
  </si>
  <si>
    <t xml:space="preserve">1. An individual or family who lacks a fixed, regular, and adequate nighttime residence, meaning: </t>
  </si>
  <si>
    <t>a. An individual or family with a primary nighttime residence that is a public or private place not designed for or ordinarily used as a regular sleeping accommodation;
b. An individual or family living in a supervised publicly or privately operated shelter designated to provide temporary living arrangements (including congregate shelters, transitional housing, and hotels and motels paid for by charitable organizations); or
c. An individual who is exiting an institution where he or she resided for 90 days or less and who resided in an emergency shelter or place not meant for human habitation immediately before entering that institution.</t>
  </si>
  <si>
    <t>2. An individual or family who will imminently lose their primary nighttime residence within 14 days and who has not identified, and lacks the resources or support needed to identify, other permanent housing. 
3. Unaccompanied youth under 25 years of age, or families with children, who are defined as homeless under other federal statutes, have not recently been permanently housed, and have experienced, and can be expected to continue to experience, persistent instability. 
4. Any individual or family who is fleeing, or attempting to flee, domestic violence or another dangerous condition, has no other residence, and lacks the resources or support needed to obtain other permanent housing.
5. An individual with a serious mental illness or emotional disorder who would otherwise be considered at-risk of homelessness as defined below and who will reside in a unit that is funded by a government agency program that specifically defines and serves this type of household.</t>
  </si>
  <si>
    <t>The Bank considers a household to be “at-risk” of homeless, and ineligible for points, if they are living in overcrowded conditions, living in the home of another individual because of economic hardship, living in a hotel or motel not paid for by charitable funds, or otherwise living in housing that has characteristics associated with instability.
At the time of initial monitoring, the Bank will require documentation confirming that the specified units have been reserved for homeless households meeting the Bank’s definition of a homeless household. This documentation must include: 1) evidence that the households were referred to the project by an established organization or agency that has been providing services to the homeless for at least three years (homeless services provider), and 2) certification from the homeless services provider that the person or household referred meets the definition of “homeless households” stated above. For transitional housing where the Sponsor is also the homeless services provider, documentation may include an intake form, signed by both the head of household and the Sponsor, which verifies that the household met the Bank’s definition of homeless household at move-in. 
In order to receive points for projects with units reserved for homeless households that are shown in the application proforma to generate rents set at the maximums for incomes greater than 30% of the area median, but which have no dedicated source of rental subsidy, the Bank will require that the applicant: 1) explain how the project will be able to absorb the potential cash flow deficit caused by the homeless units during the retention period, and 2) submit documentation from a homeless service provider that sufficient households exist in the target market area that are able to pay the scheduled rent for the units reserved for homeless households.</t>
  </si>
  <si>
    <t>Members and sponsors of projects with existing AHP awards from FHLBanks other than San Francisco, may not submit new applications for AHP subsidy on behalf of these projects unless the existing subsidies are canceled and any previously disbursed subsidies are repaid.</t>
  </si>
  <si>
    <t>Enter zero if no prior award. Projects with existing awards may only reapply in the competition if the project’s entire existing award is deobligated and any previously disbursed subsidies are repaid before the application submission deadline date. Members and sponsors of projects with existing AHP awards from FHLBanks other than San Francisco, may not submit new applications for AHP subsidy on behalf of these projects unless the existing subsidies are canceled and any previously disbursed subsidies are repaid.</t>
  </si>
  <si>
    <t>Number of transit lines located within a 1/3 mile radius of the project</t>
  </si>
  <si>
    <t>Number of amenities located within a 1/3 mile radius of the project</t>
  </si>
  <si>
    <t>&gt; Project Description</t>
  </si>
  <si>
    <r>
      <rPr>
        <b/>
        <sz val="10"/>
        <color theme="1"/>
        <rFont val="Arial"/>
        <family val="2"/>
      </rPr>
      <t>If yes</t>
    </r>
    <r>
      <rPr>
        <sz val="10"/>
        <color theme="1"/>
        <rFont val="Arial"/>
        <family val="2"/>
      </rPr>
      <t>, will ALL units be located in AZ, CA, or NV?</t>
    </r>
  </si>
  <si>
    <r>
      <rPr>
        <b/>
        <sz val="10"/>
        <color theme="1"/>
        <rFont val="Arial"/>
        <family val="2"/>
      </rPr>
      <t>If yes</t>
    </r>
    <r>
      <rPr>
        <sz val="10"/>
        <color theme="1"/>
        <rFont val="Arial"/>
        <family val="2"/>
      </rPr>
      <t>, describe the scattered site</t>
    </r>
  </si>
  <si>
    <r>
      <rPr>
        <b/>
        <sz val="10"/>
        <color theme="1"/>
        <rFont val="Arial"/>
        <family val="2"/>
      </rPr>
      <t>If yes</t>
    </r>
    <r>
      <rPr>
        <sz val="10"/>
        <color theme="1"/>
        <rFont val="Arial"/>
        <family val="2"/>
      </rPr>
      <t>, Describe the scattered site</t>
    </r>
  </si>
  <si>
    <t>INCOME_RESTRICTED_TBL_AMIDUPES_FLAG</t>
  </si>
  <si>
    <t>Targeting - Income Restricted Units Table - AMI Rows Dupe Flag</t>
  </si>
  <si>
    <t>Added 12/2017; only used to show err message on AMI table if duplicates are entered</t>
  </si>
  <si>
    <t>CS_DISPLACEMENT_A_NODISP_DESC</t>
  </si>
  <si>
    <t>Community Stability, Prev/Min Displacement, No Displacement Description</t>
  </si>
  <si>
    <t>Is the project using financing through any HUD mortgage insurance program such as 221(d)(4) and 223(f)?</t>
  </si>
  <si>
    <t>Does the member intend to purchase tax credits in connection with the project?</t>
  </si>
  <si>
    <t>Title Report</t>
  </si>
  <si>
    <t>Supporting Document(s) Submitted*</t>
  </si>
  <si>
    <t>* Only the listed documents that have a street address or Assessor’s Parcel Number that match the project’s property address will qualify for points.</t>
  </si>
  <si>
    <t>Estimated or Actual Construction/Rehabilitation Start Date</t>
  </si>
  <si>
    <t>Estimated Construction/Rehabilitation Completion Date</t>
  </si>
  <si>
    <t>ADDED 2018 DEC (FOR 2019 ROUND)</t>
  </si>
  <si>
    <t>CONSTR_REHAB_START_DATE</t>
  </si>
  <si>
    <t>CONSTR_REHAB_COMPLETE_DATE</t>
  </si>
  <si>
    <t>Estimated or actual construction/rehabilitation start date</t>
  </si>
  <si>
    <t>Estimated construction/rehabilitation completion date</t>
  </si>
  <si>
    <t>UNIQUEFIN_TAXCREDIT_HYBRID_FLG</t>
  </si>
  <si>
    <t>UNIQUEFIN_UNITS_DISTRIB_FLG</t>
  </si>
  <si>
    <t>UNIQUEFIN_PROJ_DEFINED_SEPLEGAL_FLG</t>
  </si>
  <si>
    <t>UNIQUEFIN_FINANCED_INDEPENDENT_FLG</t>
  </si>
  <si>
    <t>UNIQUEFIN_CONSTR_SAMETIME_FLG</t>
  </si>
  <si>
    <t>UNIQUEFIN_PROJ_DESCRIPTION</t>
  </si>
  <si>
    <t>Unique Financing - Project part of tax credit "hybrid" project</t>
  </si>
  <si>
    <t>Unique Financing - Units distributed within one or more structures</t>
  </si>
  <si>
    <t>Unique Financing - Defined by separate legal description</t>
  </si>
  <si>
    <t>Unique Financing - Financed and operated independently from other units</t>
  </si>
  <si>
    <t>Unique Financing - Construction aligns with remaining units in shared structure(s)</t>
  </si>
  <si>
    <t>Unique Financing - Description/Narrative</t>
  </si>
  <si>
    <t>Unique Financing Structures</t>
  </si>
  <si>
    <t>Is this project considered part of a tax credit "hybrid" project where 4% and 9% credits are being used on the same project? Note that 4% and 9% portions of a hybrid project must submit separate applications.</t>
  </si>
  <si>
    <t>Is the submitted project defined by a separate legal description? For example, the 30 units have a separate legal description from the remaining 40 units.</t>
  </si>
  <si>
    <t>Is the submitted project financed and operated independently from the remaining residential units in the structure? For example, the 30 units have a separate development and operating budget from the remaining 40 units.</t>
  </si>
  <si>
    <t>Will the submitted project start and finish construction at the same time as the remaining units in the shared structure(s)? For example, the 30 and 40 units are legally separate and financed independently, but 70 units will be constructed at the same time.</t>
  </si>
  <si>
    <r>
      <t xml:space="preserve">If yes to </t>
    </r>
    <r>
      <rPr>
        <b/>
        <u/>
        <sz val="10"/>
        <color theme="1"/>
        <rFont val="Arial"/>
        <family val="2"/>
      </rPr>
      <t>either</t>
    </r>
    <r>
      <rPr>
        <b/>
        <sz val="10"/>
        <color theme="1"/>
        <rFont val="Arial"/>
        <family val="2"/>
      </rPr>
      <t xml:space="preserve"> question above:</t>
    </r>
  </si>
  <si>
    <t>Describe the project's financing, operations, and ownership structure as well as the legal separation of the residential units in this application from any remaining residential units within the same structure(s).</t>
  </si>
  <si>
    <r>
      <t xml:space="preserve">If you are unsure about how to answer the questions above, refer to the definition of a project on page 4 of our </t>
    </r>
    <r>
      <rPr>
        <u/>
        <sz val="8"/>
        <color rgb="FF0070C0"/>
        <rFont val="Arial"/>
        <family val="2"/>
      </rPr>
      <t>Implementation Plan</t>
    </r>
    <r>
      <rPr>
        <sz val="8"/>
        <rFont val="Arial"/>
        <family val="2"/>
      </rPr>
      <t xml:space="preserve"> and contact the Community Investment Department at (415) 616-2542 with additional questions.</t>
    </r>
  </si>
  <si>
    <t>CS_PROXIMITY_TRANSITLINES_DESC</t>
  </si>
  <si>
    <t>CS_PROXIMITY_AMENITIES_DESC</t>
  </si>
  <si>
    <t>CS_SUSTAINABLE_DESC</t>
  </si>
  <si>
    <t>Community Stability, Amenities List</t>
  </si>
  <si>
    <t>Community Stability, Transit Lines List</t>
  </si>
  <si>
    <t>Community Stability, Sustainable Dev, Description</t>
  </si>
  <si>
    <t>Project must be located within 1/3 mile radius of amenities appropriate and accessible to the project’s population. One-half point will be awarded for each of the following eight items, up to a maximum of 2 points:
     o    public park, recreational facility, or community center
     o    public library
     o    a grocery store of 5,000 gross interior square feet or more 
     o    health care facility or medical clinic
     o    full banking services (check cashing or stand-alone ATM do not qualify)
     o    public school (K-12), community college, or university
     o    police or fire station, or post office
     o    retail (i.e., clothing store, department store, hardware store, or pharmacy)
To receive points, the amenity must be in place at the time of application. Distances must be measured using a standardized radius from the development site to the target amenity. Points will not be given if the radius line crosses a significant physical barrier or barriers. Such barriers include highways, railroad tracks, regional parks, golf courses, or any other feature that significantly disrupts the pedestrian walking pattern between the development site and the amenity. The radius line may be struck from the corner of the development site nearest the target amenity, to the nearest corner of the target amenity site. However, a radius line shall not be struck from the end of an entry drive or on-site access road that extends from the central portion of the site itself by 250 feet or more. Rather, the line shall be struck from the nearest corner of the site’s central portion. Where an amenity such as a grocery store resides within a larger shopping complex or commercial strip, the radius line must be measured to the amenity exterior wall, rather than the site boundary. The resulting distance shall be reduced in such instances by 250 feet to account for close-in parking.
Documentation requirement: Printout from the website of Google, Mapquest, or Walkscore clearly showing the project’s distance relative to amenity. The map must be legible and have a clear scale and legend. Applications with non-contiguous scattered-site addresses will need to include multiple maps showing the distance from each property address to each relevant amenity. The Bank reserves sole discretion in determining the relevancy of the amenities and the suitability of the documentation in awarding points for this element.</t>
  </si>
  <si>
    <t>List Name of Transit Lines (required to obtain points):</t>
  </si>
  <si>
    <t>List Name of Amenities (required to obtain points):</t>
  </si>
  <si>
    <t>Describe Certification Program (required to obtain points):</t>
  </si>
  <si>
    <t>Do the residential units in this project make up less than the total number of units within one or multiple structures? For example, this application covers the renovation or new construction of 30 units, but there are 70 total units in the building.</t>
  </si>
  <si>
    <t>For rental projects where a limited partnership owns or will own the project, and the general partner interest in the limited partnership is held all or in part by a qualified nonprofit or government entity sponsor, points are awarded based on the sponsor's percentage share of ownership of the general partnership.  Submit an organizational chart of the rental project's ownership structure with the application.</t>
  </si>
  <si>
    <t>The primary nonprofit project sponsor must receive at least 25% of any and all developer fee distributions, including future investor payouts and/or cashflow. Developer fee percentage must ultimately be documented by the LPA, or by an agreement that is referenced within the LPA, to maintain points.</t>
  </si>
  <si>
    <t>Development of housing on vacant and undeveloped parcels in dense areas, especially in urban and inner-suburban neighborhoods.  The development takes advantage of existing infrastructure and promotes compact development that allows undeveloped land to remain open and green. 
Documentation requirement: A dated aerial photo of the site showing the outline of the entire site, or documentation of the infill designation from a government entity.</t>
  </si>
  <si>
    <t>FHLBSF_FINANCING_AHEAD_FLG</t>
  </si>
  <si>
    <t>FHLBSF_FINANCING_ACE_FLG</t>
  </si>
  <si>
    <t>FHLBSF_FINANCING_CIP_FLG</t>
  </si>
  <si>
    <t>FHLBSF_FINANCING_QJF_FLG</t>
  </si>
  <si>
    <t>FHLBSF_FINANCING_DESCRIPTION</t>
  </si>
  <si>
    <t>Project Financing through FHLBSF AHEAD Program</t>
  </si>
  <si>
    <t>Project Financing through FHLBSF ACE Program</t>
  </si>
  <si>
    <t>Project Financing through FHLBSF CIP Program</t>
  </si>
  <si>
    <t>Project Financing through FHLBSF QJF Program</t>
  </si>
  <si>
    <t>Project Financing through FHLBSF Description</t>
  </si>
  <si>
    <t>ADDED 2019 DEC (FOR 2020 ROUND)</t>
  </si>
  <si>
    <t>Other FHLBank San Francisco Programs</t>
  </si>
  <si>
    <t xml:space="preserve">Is the project using financing through the FHLBank San Francisco Access to Housing and Economic Assistance for Development (AHEAD) Program? </t>
  </si>
  <si>
    <t xml:space="preserve">Is the project using financing through the FHLBank San Francisco Advances for Community Enterprise (ACE) discounted credit program? </t>
  </si>
  <si>
    <t xml:space="preserve">Is the project using financing through the FHLBank San Francisco Community Investment Program (CIP) discounted credit program? </t>
  </si>
  <si>
    <t xml:space="preserve">Is the project using financing through the FHLBank San Francisco Quality Jobs Fund? </t>
  </si>
  <si>
    <t>advance or letter of credit number, etc.</t>
  </si>
  <si>
    <r>
      <rPr>
        <b/>
        <sz val="10"/>
        <color theme="1"/>
        <rFont val="Arial"/>
        <family val="2"/>
      </rPr>
      <t>If yes to any of the questions above</t>
    </r>
    <r>
      <rPr>
        <sz val="10"/>
        <color theme="1"/>
        <rFont val="Arial"/>
        <family val="2"/>
      </rPr>
      <t xml:space="preserve">, please specify the program and provide details, such as award number or name, </t>
    </r>
  </si>
  <si>
    <t>AHP General Fund 2021</t>
  </si>
  <si>
    <t>Is the project located on Native American Land or Hawaiian Home Lands?</t>
  </si>
  <si>
    <t>A project may consist of one or more structures as long as all of the residential units in the structure(s) are included in the total project units. Units may not be distributed within one or more structures and be designated as separate projects. The Bank, in its sole discretion, may make an exception to this definition for a state tax credit agency “hybrid” project, or similar scenario, where certain residential units within a structure(s) are identified by a separate legal description and financed and operated independently.</t>
  </si>
  <si>
    <t>Transaction consummation may occur prior to or after the application deadline. For properties that were donated or conveyed at a nominal or below market price prior to application, transaction consummation must have occurred within five years of the application deadline. Donation or conveyance at a nominal or below market price must ultimately be documented to maintain points.</t>
  </si>
  <si>
    <r>
      <rPr>
        <b/>
        <sz val="10"/>
        <rFont val="Arial"/>
        <family val="2"/>
      </rPr>
      <t>Points will not be awarded if supporting documentation is not submitted with the application</t>
    </r>
    <r>
      <rPr>
        <sz val="10"/>
        <rFont val="Arial"/>
        <family val="2"/>
      </rPr>
      <t xml:space="preserve">. No points will be awarded if </t>
    </r>
    <r>
      <rPr>
        <b/>
        <i/>
        <sz val="10"/>
        <rFont val="Arial"/>
        <family val="2"/>
      </rPr>
      <t>less than 20%</t>
    </r>
    <r>
      <rPr>
        <sz val="10"/>
        <rFont val="Arial"/>
        <family val="2"/>
      </rPr>
      <t xml:space="preserve"> of project units or land associated with the project is: a) donated, b) conveyed for an amount significantly below fair market value, or c) acquired from the federal government or any agency or instrumentality thereof. Non-arm’s length transactions, as determined at the sole discretion of the Bank, would be ineligible for points.</t>
    </r>
  </si>
  <si>
    <t>Sponsor's Role and Responsibilities in the Project (if primary sponsor is a nonprofit, description must show that the nonprofit assumes integral responsibilities such as exercising control over planning, development, or management of the project, or by</t>
  </si>
  <si>
    <r>
      <t xml:space="preserve">Qualified sponsorship must entail an ownership interest in a project through the entire AHP 15-year retention period as well as a sponsor meeting the eligibility criteria certified under Project Sponsor Profile. </t>
    </r>
    <r>
      <rPr>
        <b/>
        <sz val="10"/>
        <color theme="1"/>
        <rFont val="Arial"/>
        <family val="2"/>
      </rPr>
      <t xml:space="preserve">A copy of the sponsor’s 501(c)(3) designation or other evidence of tax-exempt status must be submitted with the application. </t>
    </r>
    <r>
      <rPr>
        <sz val="10"/>
        <color theme="1"/>
        <rFont val="Arial"/>
        <family val="2"/>
      </rPr>
      <t>Articles of Incorporation and/or Corporate Bylaws are not acceptable evidence of tax-exempt status.
If the project involves additional development partners or owners that are for-profit entities, the nonprofit sponsor or government entity sponsor must be able to certify that, taking into account without limitation, all agreements, side letters, and ancillary arrangements with a for-profit entity, it is: 1) not controlled or owned by any for-profit entity; and 2) not created or managed by any for-profit entity. 
Points will be awarded based on the actual ownership interest and developer fee percentage in place on the AHP application deadline. Points will not be awarded for commitments that are made contingent on receipt of AHP funding that will be documented by future agreements or amendments to the Limited Partnership Agreement (LPA).
All information provided in this section must be consistent with the information provided under Sponsor Information and Project Sponsor Profile</t>
    </r>
  </si>
  <si>
    <r>
      <t>Projects will be awarded points based on the extent to which the qualified nonprofit or government entity is integrally involved in the aspects of the project identified below, as determined by the Bank.</t>
    </r>
    <r>
      <rPr>
        <b/>
        <sz val="10"/>
        <color theme="1"/>
        <rFont val="Arial"/>
        <family val="2"/>
      </rPr>
      <t xml:space="preserve"> A copy of the sponsor’s 501(c)(3) designation or other evidence of tax-exempt status must be submitted with the application. </t>
    </r>
    <r>
      <rPr>
        <sz val="10"/>
        <color theme="1"/>
        <rFont val="Arial"/>
        <family val="2"/>
      </rPr>
      <t>Articles of Incorporation and/or Corporate Bylaws are not acceptable evidence of tax-exempt status.
If the project involves additional development partners or owners that are for-profit entities, the nonprofit sponsor or government entity sponsor must be able to certify that, taking into account without limitation, all agreements, side letters, and ancillary arrangements with a for-profit entity, it is: 1) not controlled or owned by any for-profit entity; and 2) not created or managed by any for-profit entity. 
All information provided in this section must be consistent with the information provided under Sponsor Information and the Project Sponsor Profile.</t>
    </r>
  </si>
  <si>
    <t>Greater than 30% and less than or equal to 50%</t>
  </si>
  <si>
    <t>1) The project sponsor is not controlled or owned by any for-profit entity.
2) The project sponsor was not created by a for-profit entity or managed by a for-profit entity.
A nonprofit Sponsor must demonstrate that it meets these threshold requirements to the satisfaction of the Bank, at its sole discretion.</t>
  </si>
  <si>
    <t>Are the following two statements true?</t>
  </si>
  <si>
    <t>Alaskan Native Village</t>
  </si>
  <si>
    <t>Government Entity for Native Hawaiian Home Lands</t>
  </si>
  <si>
    <t>Home Purchase</t>
  </si>
  <si>
    <r>
      <t xml:space="preserve">Points will be awarded to projects based on the extent to which they promote community stability, such as by revitalizing neighborhoods by optimizing project site use, preserving affordable housing, being an integral part of a community revitalization or economic development strategy approved by a unit of the state, local, or federal government, promoting transit-oriented development and providing access to community amenities, incorporating the use of sustainable building techniques or standards, increasing homeownership opportunities and economic integration, and not displacing low- or moderate-income households, or if such displacement will occur, assuring that such households will be assisted to minimize the impact of such displacement.
</t>
    </r>
    <r>
      <rPr>
        <b/>
        <sz val="10"/>
        <color theme="1"/>
        <rFont val="Arial"/>
        <family val="2"/>
      </rPr>
      <t>Supporting documentation must be submitted for a particular stabilizing feature to receive points for that project feature.</t>
    </r>
  </si>
  <si>
    <r>
      <t xml:space="preserve">Points will be awarded to projects based on the extent to which they promote community stability, such as by revitalizing neighborhoods by optimizing project site use, preserving affordable housing, being an integral part of a community revitalization or economic development strategy approved by a unit of the state, local, or federal government, promoting transit-oriented development and providing access to community amenities, incorporating the use of sustainable building techniques or standards, increasing homeownership opportunities and economic integration, and not displacing low- or moderate-income households, or if such displacement will occur, assuring that such households will be assisted to minimize the impact of such displacement. 
</t>
    </r>
    <r>
      <rPr>
        <b/>
        <sz val="10"/>
        <color theme="1"/>
        <rFont val="Arial"/>
        <family val="2"/>
      </rPr>
      <t>Supporting documentation must be submitted for a particular stabilizing feature to receive points for that project feature.</t>
    </r>
  </si>
  <si>
    <t>2. Community Revitalization or Economic Development Strategy</t>
  </si>
  <si>
    <t>Documentation requirement: Documentation from a unit of the state, local or federal government, or instrumentality thereof verifying that all of a project’s units are located within the geographic area of the community revitalization or economic development strategy.</t>
  </si>
  <si>
    <t>Project must be located within a 1/3 mile radius of a transit station, rail station, commuter rail station, bus station, or public bus. One-half point will be awarded for each line or route available, up to a maximum of 2 points.
To receive points, the transit line must be in place at the time of application. Distances must be measured using a standardized radius from the development site to the target transit line stop. Points will not be given if the radius line crosses a significant physical barrier or barriers. Such barriers include highways, railroad tracks, regional parks, golf courses, or any other feature that significantly disrupts the pedestrian walking pattern between the development site and the transit line stop. The radius line may be struck from the corner of the development site nearest the target transit line, to the nearest corner of the target transit line stop. However, a radius line shall not be struck from the end of an entry drive or on-site access road that extends from the central portion of the site itself by 250 feet or more. Rather, the line shall be struck from the nearest corner of the site’s central portion.
Documentation requirement: A printout from the websites of Google, Mapquest, or Walkscore clearly showing the number of transit lines and the project’s distance relative to those transit line stops. The map must be legible and have a clear scale and legend. Transit authority maps must accompany the aforementioned location maps to show the destinations of each line. Applications with non-contiguous scattered-site addresses will need to include multiple maps showing the distance from each property address to each relevant transit line stop. The Bank reserves sole discretion in determining the relevancy of the transit services and the suitability of the documentation in awarding points for this element.</t>
  </si>
  <si>
    <t>Project must increase affordable homeownership opportunities in the targeted area.  Rental projects with homeownership conversion plans qualify for points in this category. 
Documentation Requirements: Rental projects must submit homeownership conversion plan, such as a lease-to-own plan. Conversion plans must be legally enforceable for each resident.</t>
  </si>
  <si>
    <t>Location in High Resource Areas or Upper-Income Census Tracts</t>
  </si>
  <si>
    <t>All project units, including scattered site projects, must be located in a census tract(s), or census block group, designated as high or highest resource areas on the most current Opportunity Area map, or equivalent area designated by a state or state Qualified Allocation Plan (QAP). If the state or QAP has no officially designated Opportunity Areas or other maps with designated high or highest resource areas, the project must be located in an upper-income census tract(s).
Documentation requirement: Printout(s) of the state or QAP Opportunity Area maps* or equivalent, or printout(s) of the project census tract(s) from the website of the Federal Financial Institution Examination Council (FFIEC).
* An applicant may choose to utilize the census tract(s), or census block group, resource designation from the high or highest resource maps in effect when the initial site control was obtained up to seven calendar years prior to the application.</t>
  </si>
  <si>
    <t>No Household Displacement (Project site is vacant and unoccupied)</t>
  </si>
  <si>
    <t>Provide an explanation of the project’s situation if it is a vacant site or unoccupied existing building</t>
  </si>
  <si>
    <t>Project Site Is Occupied and an Acceptable Relocation Plan is in Place</t>
  </si>
  <si>
    <t xml:space="preserve">Documentation requirement: For an occupied existing building, including projects involving temporary on-site relocation, provide an acceptable relocation plan along with appropriate expenses allocated for relocation assistance in the development budget. The Bank will find acceptable, at its discretion, one of the following: 
Any plan that is approved by federal, state, or local government funder(s) involved in the financing of the project; or
A relocation plan containing the following:
     o    Resident notification strategy for informing tenants of their relocation with appropriate lead time commensurate with the extent of the
           renovations and required relocation stay;
     o    Accommodation (monetary, labor assistance, or other) measures to be implemented. Monetary accommodation should consider reimbursement
           for extraordinary expenses such as movers, food, utilities, advisory or support services, storage of personal belongings, transportation, and 
           security;
     o    Temporary relocation planning such as moving within the property to a different unit (either permanently or temporarily), storing of personal
           property on-site, moving to a hotel for a designated period of time, or other alternatives;
     o    Permanent relocation planning in the case of an occupant requesting such accommodation;
     o    A relocation budget categorizing the relocation costs and an anticipated average cost per household. </t>
  </si>
  <si>
    <t>REMOVED 2020</t>
  </si>
  <si>
    <t>Submit Attachment 9 signed by the local building permit agency as evidence of readiness to begin construction for all units. Copies of the permit ready letter(s) or issued permit(s) must also be included. Attachment 9 must be re-issued/re-executed with each new round. A proxy letter from tribal entities may be substituted for projects on Native American tribal lands. Points will not be awarded without documentation. Submit documents for each parcel. Credit cannot be awarded for building permit or permit readiness if full site control is not documented.</t>
  </si>
  <si>
    <t>1. Training and Education</t>
  </si>
  <si>
    <t xml:space="preserve">Services should include employment/workforce development readiness services or programs; vocational training; employment/career counseling and job placement; adult-accredited education programs that include English as a second language, GED, and computer classes; or a life skills education program or financial literacy education program. Frequency of service requirements is bi-monthly (once every two months) or equivalent. </t>
  </si>
  <si>
    <t>2. Health Care Services or Programs, Including Mental and Behavioral Health Services</t>
  </si>
  <si>
    <t>Services should include healthcare management programs that support residents’ ability to find or sustain employment or be self-sufficient. These may include provision of medical, dental, mental health services, and behavioral health services such as psychiatric, marriage, and family counseling and addictions treatment.</t>
  </si>
  <si>
    <t>3. On-site Child Daycare Services or Programs</t>
  </si>
  <si>
    <t>4. After-school Care or Out-of-school Services or Programs</t>
  </si>
  <si>
    <t>5. Bona Fide Service Coordinator/Social Worker Available</t>
  </si>
  <si>
    <t>4. Health Care Services or Programs, Including Mental and Behavioral Health Services</t>
  </si>
  <si>
    <t>1. Revitalizing Neighborhoods by Optimizing Project Site Use, or Preserving Affordable Housing</t>
  </si>
  <si>
    <t>Demolition of Vacant, Abandoned, or Substandard Buildings</t>
  </si>
  <si>
    <t>Demolition must be undertaken by the Sponsor and demolition costs included in the development budget.
Documentation requirement: Dated photos of the site clearly showing the vacant, abandoned or substandard condition of the structures to be demolished or documentation from a government entity validating the status of the property as vacant, abandoned, or substandard.</t>
  </si>
  <si>
    <t>Substantial Rehabilitation of Vacant, Abandoned, or Substandard Buildings, which includes the preservation of affordable housing</t>
  </si>
  <si>
    <t>Documentation requirement: A project capital needs assessment prepared by a third party verifying that rehabilitation will extend the life of the property by at least 15 years.</t>
  </si>
  <si>
    <t xml:space="preserve">Demolition of Vacant, Abandoned, or Substandard Buildings </t>
  </si>
  <si>
    <t>LEED_NETZERO</t>
  </si>
  <si>
    <t>LEED Certified, GreenPoint Certified, or National Green Building Standard Bronze. The rehabilitation of existing buildings may also be awarded points for a 20% improvement over the project’s pre-rehabilitation rating under the Home Energy Rating System (HERS).</t>
  </si>
  <si>
    <t>LEED Silver, GreenPoint Silver, Enterprise Green Communities, or National Green Building Standard Silver. The rehabilitation of existing buildings may also be awarded points for a 25% improvement over the project’s pre-rehabilitation HERS rating.</t>
  </si>
  <si>
    <t>LEED Gold or Higher, GreenPoint Gold or higher, or National Green Building Standard Gold or higher. The rehabilitation of existing buildings may also be awarded points for a 30% improvement over the project’s pre-rehabilitation HERS rating.</t>
  </si>
  <si>
    <t>LEED-certified with net-zero certification or Enterprise Green Communities 2020 Plus certification</t>
  </si>
  <si>
    <t>A maximum of 4 points will be awarded for LEED- or Enterprise-certified projects receiving a net-zero certification for demonstrating any or one of the following: net-zero carbon emissions, net-zero energy use, net-zero water use or net-zero waste.
Documentation requirement: Documentation from the US Green Building Council or Enterprise must be provided upon project completion.</t>
  </si>
  <si>
    <r>
      <t xml:space="preserve">Select </t>
    </r>
    <r>
      <rPr>
        <b/>
        <u/>
        <sz val="9"/>
        <color theme="1"/>
        <rFont val="Arial"/>
        <family val="2"/>
      </rPr>
      <t>one</t>
    </r>
    <r>
      <rPr>
        <b/>
        <sz val="9"/>
        <color theme="1"/>
        <rFont val="Arial"/>
        <family val="2"/>
      </rPr>
      <t xml:space="preserve"> of the following five options, as applicable to the project:</t>
    </r>
  </si>
  <si>
    <t>HUD_811_FINANCE_FLG</t>
  </si>
  <si>
    <t>HUD 811 Financing Indicator</t>
  </si>
  <si>
    <t>ADDED DEC 2020 (FOR 2021 ROUND)</t>
  </si>
  <si>
    <r>
      <t>HUD</t>
    </r>
    <r>
      <rPr>
        <strike/>
        <sz val="10"/>
        <color theme="1"/>
        <rFont val="Calibri"/>
        <family val="2"/>
        <scheme val="minor"/>
      </rPr>
      <t xml:space="preserve"> 811 or </t>
    </r>
    <r>
      <rPr>
        <sz val="10"/>
        <color theme="1"/>
        <rFont val="Calibri"/>
        <family val="2"/>
        <scheme val="minor"/>
      </rPr>
      <t>202 Financing Indicator (811 split to own question)</t>
    </r>
  </si>
  <si>
    <t>Is the project using financing through HUD Section 202 (Supportive Housing for the Elderly Program) as a permanent source of funds?</t>
  </si>
  <si>
    <t>Is the project using financing through HUD Section 811 (Supportive Housing for Persons with Disabilities Program) as a permanent source of funds?</t>
  </si>
  <si>
    <t>USDA_SEC_514_FLG</t>
  </si>
  <si>
    <t>USDA_SEC_515_FLG</t>
  </si>
  <si>
    <t>USDA Section 514 Indicator</t>
  </si>
  <si>
    <t>USDA Section 515 Indicator</t>
  </si>
  <si>
    <t>Is the project using financing through USDA Section 514 (Farm Labor Housing) as a permanent source of funds?</t>
  </si>
  <si>
    <t>Is the project using financing through USDA Section 515 (Rural Rental Housing Loans) as a permanent source of funds?</t>
  </si>
  <si>
    <r>
      <rPr>
        <b/>
        <sz val="10"/>
        <color theme="1"/>
        <rFont val="Arial"/>
        <family val="2"/>
      </rPr>
      <t>If yes</t>
    </r>
    <r>
      <rPr>
        <sz val="10"/>
        <color theme="1"/>
        <rFont val="Arial"/>
        <family val="2"/>
      </rPr>
      <t>, specify the HUD and/or USDA program(s):</t>
    </r>
  </si>
  <si>
    <t>qualifying borrowers and providing or arranging financing for owners of the units).</t>
  </si>
  <si>
    <t>SPONSOR_CERT_COVEREDMISCONDUCT_FLG</t>
  </si>
  <si>
    <t>SPONSOR_CERT_RESPONSIBILITIES_FLG</t>
  </si>
  <si>
    <t>Sponsor - Certification - Covered Misconduct</t>
  </si>
  <si>
    <t>Sponsor - Certification - Qualified &amp; Able to perform responsibilities</t>
  </si>
  <si>
    <t>SECTION_9_WARNING_01</t>
  </si>
  <si>
    <r>
      <t>Sponsor certifies that their organization has not engaged in, and is not engaging in, covered misconduct as defined in Federal Housing Finance Agency’s Suspended Counterparty Program regulation (</t>
    </r>
    <r>
      <rPr>
        <b/>
        <u/>
        <sz val="10"/>
        <color theme="3"/>
        <rFont val="Arial"/>
        <family val="2"/>
      </rPr>
      <t>12 CFR part 1227: Section 1227.2 - Definitions</t>
    </r>
    <r>
      <rPr>
        <sz val="10"/>
        <color theme="1"/>
        <rFont val="Arial"/>
        <family val="2"/>
      </rPr>
      <t>)</t>
    </r>
  </si>
  <si>
    <r>
      <rPr>
        <b/>
        <sz val="10"/>
        <color theme="1"/>
        <rFont val="Arial"/>
        <family val="2"/>
      </rPr>
      <t>By selecting Yes</t>
    </r>
    <r>
      <rPr>
        <sz val="10"/>
        <color theme="1"/>
        <rFont val="Arial"/>
        <family val="2"/>
      </rPr>
      <t>, Sponsor certifies the above statement</t>
    </r>
  </si>
  <si>
    <r>
      <t xml:space="preserve">Sponsor certifies that their organization has not engaged in, and is not engaging in, covered misconduct as defined in Federal Housing Finance Agency’s Suspended Counterparty Program regulation </t>
    </r>
    <r>
      <rPr>
        <b/>
        <u/>
        <sz val="10"/>
        <color theme="3"/>
        <rFont val="Arial"/>
        <family val="2"/>
      </rPr>
      <t>(12 CFR part 1227: Section 1227.2 - Definitions)</t>
    </r>
  </si>
  <si>
    <t>Sponsor certifies that it is qualified and able to perform its responsibilities as committed to in the application for AHP subsidy funding the project, including the following qualifications criteria:
    1. Has been engaged in the ownership, management, or development of affordable housing for a minimum of three years. 
    2. Has sufficient capacity and staff experience to perform project roles and integral responsibilities.
    3. Is integrally involved in the project such as by exercising control over planning, development, or management of the 
        project, or by qualifying borrowers and providing or arranging financing for owners of the units.
Notwithstanding the criteria above, the Bank will determine, in its sole discretion, whether an entity is qualified to be a project Sponsor taking into account the qualifications of the Sponsor’s development partners.</t>
  </si>
  <si>
    <r>
      <rPr>
        <b/>
        <sz val="10"/>
        <color theme="1"/>
        <rFont val="Arial"/>
        <family val="2"/>
      </rPr>
      <t>By selecting Yes</t>
    </r>
    <r>
      <rPr>
        <sz val="10"/>
        <color theme="1"/>
        <rFont val="Arial"/>
        <family val="2"/>
      </rPr>
      <t>, Sponsor certifies the above statements</t>
    </r>
  </si>
  <si>
    <t>LARGE_UNITS</t>
  </si>
  <si>
    <t>Large Units - # Units with 3 or more bedrooms</t>
  </si>
  <si>
    <t>Large Units</t>
  </si>
  <si>
    <t>New Section (Dec 2020) for 2021 Round</t>
  </si>
  <si>
    <t>Number of units with three or more bedrooms</t>
  </si>
  <si>
    <t>TOC_SECTION_NO</t>
  </si>
  <si>
    <t>TOC_HYPERLINK</t>
  </si>
  <si>
    <t>TOC_PRINT</t>
  </si>
  <si>
    <t>ADDED DEC 2020 TO ACCOMMODATE UI REORDERING OF SECTIONS W/O HAVING TO RE-ORDER ALL SIDEBAR SECTIONS</t>
  </si>
  <si>
    <t>SECTION_22</t>
  </si>
  <si>
    <t>SECTION_22_RANGE</t>
  </si>
  <si>
    <t>SECTION_22_DONE_COUNT</t>
  </si>
  <si>
    <t>SECTION_22_TOTAL_COUNT</t>
  </si>
  <si>
    <t>SECTION_22_ERROR_COUNT</t>
  </si>
  <si>
    <t>SECTION_22_PROGRESS_PERCENT</t>
  </si>
  <si>
    <t>SECTION_22_STATUS_TEXT</t>
  </si>
  <si>
    <t>SECTION_22_STATUS_CODE</t>
  </si>
  <si>
    <t>SECTION_22_TOC_LABEL</t>
  </si>
  <si>
    <t>SECTION_22_WARNING_COUNT</t>
  </si>
  <si>
    <t>SECTION_22_WARNING_FLAG</t>
  </si>
  <si>
    <t>Scoring Summary - Display Info Only</t>
  </si>
  <si>
    <t>SCORE_TRGT_RENTAL</t>
  </si>
  <si>
    <t>SCORE_TRGT_OWNER</t>
  </si>
  <si>
    <t>SCORE_NONPROFSPONS_RENTAL</t>
  </si>
  <si>
    <t>SCORE_DONATEDCONVEYED_FINAL</t>
  </si>
  <si>
    <t>SCORE_NONPROFSPONS_FINAL</t>
  </si>
  <si>
    <t>Score Summary (Display) - Nonprofit Sponsorship - Score - FINAL</t>
  </si>
  <si>
    <t>Score Summary (Display) - Donated / Conveyed  - Score - FINAL</t>
  </si>
  <si>
    <t>Score Summary (Display) - Nonprofit Sponsorship - Score - Rental</t>
  </si>
  <si>
    <t>Score Summary (Display) - Nonprofit Sponsorship - Score - Owner</t>
  </si>
  <si>
    <t>SCORE_NONPROFSPONS_OWNER</t>
  </si>
  <si>
    <t>SCORE_NONPROFSPONS_RENTAL_OWNERSHIPPCT</t>
  </si>
  <si>
    <t>Score Support - Nonprofit Sponsorshot - Rental - Ownership % Variable</t>
  </si>
  <si>
    <t>SCORE_HOMEPURCHASE_FINAL</t>
  </si>
  <si>
    <t>Score Summary (Display) - Home Purchase - FINAL</t>
  </si>
  <si>
    <t>SCORE_HOMELESS_NETUNITS_VARIABLE</t>
  </si>
  <si>
    <t>Score Support - Homeless - Net Units (Total Units - Manager Units)</t>
  </si>
  <si>
    <t>SCORE_HOMELESS_FINAL</t>
  </si>
  <si>
    <t>Score Summary (Display) - Homeless - Score - FINAL</t>
  </si>
  <si>
    <t>SCORE_SPECIALNEEDS_FINAL</t>
  </si>
  <si>
    <t>Score Summary (Display) - Special Needs - Score - FINAL</t>
  </si>
  <si>
    <t>SCORE_LARGEUNITS_FINAL</t>
  </si>
  <si>
    <t>Score Summary (Display) - Large Units - Score - FINAL</t>
  </si>
  <si>
    <t>SCORE_RURAL_FINAL</t>
  </si>
  <si>
    <t>Score Summary (Display) - Rural - Score - FINAL</t>
  </si>
  <si>
    <t>SCORE_EMPOWERMENT_FINAL</t>
  </si>
  <si>
    <t>Score Summary (Display) - Empowerment - Score - FINAL</t>
  </si>
  <si>
    <t>SCORE_COMMSTAB_FINAL</t>
  </si>
  <si>
    <t>Score Summary (Display) - Community Stability - Score - FINAL</t>
  </si>
  <si>
    <t>SCORE_PROJREADY_RENTAL</t>
  </si>
  <si>
    <t>SCORE_PROJREADY_OWNER</t>
  </si>
  <si>
    <t>SCORE_PROJREADY_FINAL</t>
  </si>
  <si>
    <t>Score Summary (Display) - Project Readiness- Score - Rental</t>
  </si>
  <si>
    <t>Score Summary (Display) - Project Readiness- Score - Owner</t>
  </si>
  <si>
    <t>Score Summary (Display) - Project Readiness- Score - Final</t>
  </si>
  <si>
    <t>SCORE_INDISTRICT_FINAL</t>
  </si>
  <si>
    <t>Score Summary (Display) - In-District Project - Score - Final</t>
  </si>
  <si>
    <t>SCORE_SPU_FINAL</t>
  </si>
  <si>
    <t>Score Summary (Display) - Subsidy per Unit - Score - Final</t>
  </si>
  <si>
    <t>SCORE_TRGT_RENTAL_VLI_PCT_VARIABLE</t>
  </si>
  <si>
    <t>Score Support - Targeting - Rental - Pct Total Units VLI (&lt;=50% AMI)</t>
  </si>
  <si>
    <t>Score Summary (Display) - Targeting - Score - Rental</t>
  </si>
  <si>
    <t>SCORE_TRGT_RENTAL_BASE_VARIABLE</t>
  </si>
  <si>
    <t>SCORE_TRGT_RENTAL_WAAMIT</t>
  </si>
  <si>
    <t>SCORE_TRG_RENTAL_ADJUSTMENT</t>
  </si>
  <si>
    <t>Score Support - Targeting - Rental - Base Score</t>
  </si>
  <si>
    <t>Score Support - Targeting - Rental - WAAMIT</t>
  </si>
  <si>
    <t>Score Support - Targeting - Rental - Adjustment</t>
  </si>
  <si>
    <t>Score Summary (Display) - Targeting - Score - Owner</t>
  </si>
  <si>
    <t>SCORE_TRGT_FINAL</t>
  </si>
  <si>
    <t>Score Summary (Display) - Targeting - Score - Final</t>
  </si>
  <si>
    <t>SCORE_SUM_FINAL</t>
  </si>
  <si>
    <t>Score Summary (Display) - Application Score - Final</t>
  </si>
  <si>
    <t>POINT_HEADER_TEMPLATE</t>
  </si>
  <si>
    <t>Section Header Template - Points</t>
  </si>
  <si>
    <t>Targeting to Lower-Income Households</t>
  </si>
  <si>
    <t>Housing for Households Requiring Large Units</t>
  </si>
  <si>
    <t>Community Stability, Including Affordable Housing Preservation</t>
  </si>
  <si>
    <t>Housing in Rural Areas</t>
  </si>
  <si>
    <t>Housing for Special Needs Populations</t>
  </si>
  <si>
    <t>Housing for Homeless Households</t>
  </si>
  <si>
    <t>Sponsorship by a Not-For-Profit Organization or Government Entity</t>
  </si>
  <si>
    <t>Use of Donated or Conveyed Government-owned or Other Properties</t>
  </si>
  <si>
    <t>Home Purchase by Low- or Moderate-Income Household</t>
  </si>
  <si>
    <t>Subsidy Per Unit</t>
  </si>
  <si>
    <t>Read-Only Section, Added Dec 2020</t>
  </si>
  <si>
    <t>SPU_REF_INCOME_RESTRICTED_UNITS</t>
  </si>
  <si>
    <t>SPU_REF_SUBSIDY_REQUESTED</t>
  </si>
  <si>
    <t>SPU_REF_SUBSIDY_PER_UNITS</t>
  </si>
  <si>
    <t>Subsidy per Unit</t>
  </si>
  <si>
    <t xml:space="preserve">SPU - Reference - Income Restricted Units </t>
  </si>
  <si>
    <t xml:space="preserve">SPU - Reference - AHP Subsidy Requested </t>
  </si>
  <si>
    <t>SPU - Reference - Subsidy per Unit</t>
  </si>
  <si>
    <t>Number of income restricted units in the project</t>
  </si>
  <si>
    <t>AHP subsidy requested</t>
  </si>
  <si>
    <t>AHP subsidy requested per unit</t>
  </si>
  <si>
    <t>For reference only. Responses entered in the Subsidy Requested and Targeting to Lower-Income Households.</t>
  </si>
  <si>
    <t>SECTION_23</t>
  </si>
  <si>
    <t>SECTION_23_RANGE</t>
  </si>
  <si>
    <t>SECTION_23_DONE_COUNT</t>
  </si>
  <si>
    <t>SECTION_23_TOTAL_COUNT</t>
  </si>
  <si>
    <t>SECTION_23_ERROR_COUNT</t>
  </si>
  <si>
    <t>SECTION_23_PROGRESS_PERCENT</t>
  </si>
  <si>
    <t>SECTION_23_STATUS_TEXT</t>
  </si>
  <si>
    <t>SECTION_23_STATUS_CODE</t>
  </si>
  <si>
    <t>SECTION_23_TOC_LABEL</t>
  </si>
  <si>
    <t>SECTION_23_WARNING_COUNT</t>
  </si>
  <si>
    <t>SECTION_23_WARNING_FLAG</t>
  </si>
  <si>
    <t>Score Summary</t>
  </si>
  <si>
    <t>Category</t>
  </si>
  <si>
    <t>Maximum Points</t>
  </si>
  <si>
    <t>Estimated Score</t>
  </si>
  <si>
    <t>Estimated scores are provided as reference only. The final application score shall be determined upon review by the Bank. The interpretation and implementation of scoring criteria shall be subject to the Bank’s sole discretion.</t>
  </si>
  <si>
    <t>CATEGORY_ORDER</t>
  </si>
  <si>
    <t>Estimated Final Score:</t>
  </si>
  <si>
    <t>(Maximum Points: [MAX])</t>
  </si>
  <si>
    <t>SCORE_SUBHEADER_TEMPLATE</t>
  </si>
  <si>
    <t>Subheader Template- Estimated Score</t>
  </si>
  <si>
    <t>Estimated Score: [SCORE]</t>
  </si>
  <si>
    <t>SECTION_24</t>
  </si>
  <si>
    <t>SECTION_24_RANGE</t>
  </si>
  <si>
    <t>SECTION_24_DONE_COUNT</t>
  </si>
  <si>
    <t>SECTION_24_TOTAL_COUNT</t>
  </si>
  <si>
    <t>SECTION_24_ERROR_COUNT</t>
  </si>
  <si>
    <t>SECTION_24_PROGRESS_PERCENT</t>
  </si>
  <si>
    <t>SECTION_24_STATUS_TEXT</t>
  </si>
  <si>
    <t>SECTION_24_STATUS_CODE</t>
  </si>
  <si>
    <t>SECTION_24_TOC_LABEL</t>
  </si>
  <si>
    <t>SECTION_24_WARNING_COUNT</t>
  </si>
  <si>
    <t>SECTION_24_WARNING_FLAG</t>
  </si>
  <si>
    <t>SECTION_22_SCORE_MAX_POINTS</t>
  </si>
  <si>
    <t>SECTION_22_SCORE_CURRENT</t>
  </si>
  <si>
    <t>SECTION_22_SCORE_EST_HEADING</t>
  </si>
  <si>
    <t>SECTION_22_SCORE_EST_SUBHEADING</t>
  </si>
  <si>
    <t>SECTION_21_SCORE_MAX_POINTS</t>
  </si>
  <si>
    <t>SECTION_21_SCORE_CURRENT</t>
  </si>
  <si>
    <t>SECTION_21_SCORE_EST_HEADING</t>
  </si>
  <si>
    <t>SECTION_21_SCORE_EST_SUBHEADING</t>
  </si>
  <si>
    <t>SECTION_20_SCORE_MAX_POINTS</t>
  </si>
  <si>
    <t>SECTION_20_SCORE_CURRENT</t>
  </si>
  <si>
    <t>SECTION_20_SCORE_EST_HEADING</t>
  </si>
  <si>
    <t>SECTION_20_SCORE_EST_SUBHEADING</t>
  </si>
  <si>
    <t>SECTION_19_SCORE_MAX_POINTS</t>
  </si>
  <si>
    <t>SECTION_19_SCORE_CURRENT</t>
  </si>
  <si>
    <t>SECTION_19_SCORE_EST_HEADING</t>
  </si>
  <si>
    <t>SECTION_19_SCORE_EST_SUBHEADING</t>
  </si>
  <si>
    <t>SECTION_18_SCORE_MAX_POINTS</t>
  </si>
  <si>
    <t>SECTION_18_SCORE_CURRENT</t>
  </si>
  <si>
    <t>SECTION_18_SCORE_EST_HEADING</t>
  </si>
  <si>
    <t>SECTION_18_SCORE_EST_SUBHEADING</t>
  </si>
  <si>
    <t>SECTION_17_SCORE_MAX_POINTS</t>
  </si>
  <si>
    <t>SECTION_17_SCORE_CURRENT</t>
  </si>
  <si>
    <t>SECTION_17_SCORE_EST_HEADING</t>
  </si>
  <si>
    <t>SECTION_17_SCORE_EST_SUBHEADING</t>
  </si>
  <si>
    <t>SECTION_16_SCORE_MAX_POINTS</t>
  </si>
  <si>
    <t>SECTION_16_SCORE_CURRENT</t>
  </si>
  <si>
    <t>SECTION_16_SCORE_EST_HEADING</t>
  </si>
  <si>
    <t>SECTION_16_SCORE_EST_SUBHEADING</t>
  </si>
  <si>
    <t>SECTION_15_SCORE_MAX_POINTS</t>
  </si>
  <si>
    <t>SECTION_15_SCORE_CURRENT</t>
  </si>
  <si>
    <t>SECTION_15_SCORE_EST_HEADING</t>
  </si>
  <si>
    <t>SECTION_15_SCORE_EST_SUBHEADING</t>
  </si>
  <si>
    <t>SECTION_14_SCORE_MAX_POINTS</t>
  </si>
  <si>
    <t>SECTION_14_SCORE_CURRENT</t>
  </si>
  <si>
    <t>SECTION_14_SCORE_EST_HEADING</t>
  </si>
  <si>
    <t>SECTION_14_SCORE_EST_SUBHEADING</t>
  </si>
  <si>
    <t>SECTION_13_SCORE_MAX_POINTS</t>
  </si>
  <si>
    <t>SECTION_13_SCORE_CURRENT</t>
  </si>
  <si>
    <t>SECTION_13_SCORE_EST_HEADING</t>
  </si>
  <si>
    <t>SECTION_13_SCORE_EST_SUBHEADING</t>
  </si>
  <si>
    <t>SECTION_12_SCORE_MAX_POINTS</t>
  </si>
  <si>
    <t>SECTION_12_SCORE_CURRENT</t>
  </si>
  <si>
    <t>SECTION_12_SCORE_EST_HEADING</t>
  </si>
  <si>
    <t>SECTION_12_SCORE_EST_SUBHEADING</t>
  </si>
  <si>
    <t>SECTION_11_SCORE_MAX_POINTS</t>
  </si>
  <si>
    <t>SECTION_11_SCORE_CURRENT</t>
  </si>
  <si>
    <t>SECTION_11_SCORE_EST_HEADING</t>
  </si>
  <si>
    <t>SECTION_11_SCORE_EST_SUBHEADING</t>
  </si>
  <si>
    <t>ADDED DEC 2020 TO ACCOMMODATE UI REORDERING OF SECTIONS W/O HAVING TO RE-ORDER ALL SIDEBAR SECTIONS; NOTE THAT YOU'LL STILL HAVE TO UPDATE THE LINKS</t>
  </si>
  <si>
    <t>DRIVES SORT ORDER OF CATEGORIES IN SCORE SUMMARY; NO DEPENDENCY ON TOC</t>
  </si>
  <si>
    <t>SECTION_23_SCORE_MAX_POINTS</t>
  </si>
  <si>
    <t>SECTION_23_SCORE_CURRENT</t>
  </si>
  <si>
    <t>SECTION_23_SCORE_EST_HEADING</t>
  </si>
  <si>
    <t>SECTION_23_SCORE_EST_SUBHEADING</t>
  </si>
  <si>
    <t>Note: At least 20% of units must be targeted to 50% AMI or below.</t>
  </si>
  <si>
    <t>The application, including all supporting documents, must be electronically submitted via the Federal Home Loan Bank of San Francisco’s secure portal, no later than 5:00 pm Pacific Time, Wednesday, March 10, 2021.
For detailed information on application eligibility requirements and scoring category criteria, refer to the current Implementation Plan available on fhlbsf.com.</t>
  </si>
  <si>
    <t>6.0.3</t>
  </si>
  <si>
    <t xml:space="preserve">Sponsor Covered Misconduct and Eligibility Certification </t>
  </si>
  <si>
    <t>Sponsor certifies that it is qualified and able to perform its responsibilities as committed to in the application for AHP subsidy funding the project, including the following qualifications criteria:
    1. Has been engaged in the ownership, management, or development of affordable housing for a minimum of three years. 
    2. Has sufficient capacity and staff experience to perform project roles and integral responsibilities.
    3. Has an ownership interest in the project (including any leasehold, partnership, or controlling interest) through the entire 
        AHP 15-year retention period. 
    4. Is integrally involved in project responsibilities such as project planning, project development, construction, property 
        management, and securing development financing or other funding commitments.
Notwithstanding the criteria above, the Bank will determine, in its sole discretion, whether an entity is qualified to be a project Sponsor taking into account the qualifications of the Sponsor’s development partners.</t>
  </si>
  <si>
    <t>If the project is not financed by Low Income Housing Tax Credits (LIHTCs), what is the ownership interest of the nonprofit sponsor in the project? Or, in a LIHTC project, what is the ownership interest in the general partner (GP) by the nonprofit sponsor(s)? If there is more than one nonprofit entity with an ownership interest, select the combined ownership interest of all nonprofits.</t>
  </si>
  <si>
    <t>Projects will be awarded 3 points for the creation of housing in which at least 25% of the total project units (restricted and
non-restricted units) have three or more bedrooms. Points will not be awarded if less than 25% of the total project units have three or more bedrooms.</t>
  </si>
  <si>
    <r>
      <t xml:space="preserve">Points will be awarded to projects in which the housing is provided in combination with a program or programs offering economically empowering services and opportunities for all homebuyers, such as workforce development readiness, pre-and post-homeownership counseling, sweat equity contribution, health care, on-site child daycare services, after-school care, out-of-school services or if a bonafide service coordinator/social worker will be available to homebuyers. 
Only services or programs that promote economic empowerment of homebuyers qualify under this scoring criterion. Services or programs must be of a regular, ongoing nature and provided to all homebuyers free of charge, except for daycare services. Services or programs must be providing on-site except that projects may use off-site services provided that they have a written agreement with the service provider enabling the project's homebuyers to use the services or program free of charge. Referral services will not be eligible for points. 
To receive points for a “sponsor provided” service, the plan describing the service or program must be submitted with the application.  The plan must have been completed within six months prior to the application submission deadline date.
To receive points for a service or program provided by an organization other than the sponsor, an executed Memorandum of Understanding (MOU), service contract, or letter of commitment for the service must be completed by the provider of the service or program, and submitted with the application. The MOU, service contract, or letter of commitment must have been executed within six months prior to the application submission deadline date.
If supporting documentation is not submitted for a particular service or program selected, points will not be given for that activity. Documentation must include the following information: (1) service provider name; (2) service or program description; (3) scope of service or program; (4) service provider commitment to project; and (5) any costs to homebuyers. Additionally, to receive points, you must complete the Promotion of Empowerment Budget in the Application Financial Workbook, showing annual projected expenses and sources of funding for the service(s).
Services must be available to all homebuyers to receive points. If the service is available to the community at large, the documentation must indicate specific accommodations, special access, or preferences secured for homebuyers.
</t>
    </r>
    <r>
      <rPr>
        <b/>
        <sz val="10"/>
        <color theme="1"/>
        <rFont val="Arial"/>
        <family val="2"/>
      </rPr>
      <t>Indicate which services and programs will be provided to financially empower homebuyers</t>
    </r>
    <r>
      <rPr>
        <sz val="10"/>
        <color theme="1"/>
        <rFont val="Arial"/>
        <family val="2"/>
      </rPr>
      <t>. Each empowerment feature listed below is worth five points; however, no more than 5 points will be awarded in this category. No partial points will be given. To receive 5 points, the project sponsor must commit to providing at least one of the seven empowering services or programs.</t>
    </r>
  </si>
  <si>
    <r>
      <t xml:space="preserve">Points will be awarded to projects in which the housing is provided in combination with a program or programs offering economically empowering services and opportunities for all residents, such as workforce development readiness, financial literacy education, health care, on-site child daycare services, after-school care, out-of-school services or if a bonafide service coordinator/social worker will be available to residents. 
Only services or programs that promote economic empowerment of residents qualify under this scoring  criterion. Services or programs must be of a regular, ongoing nature and provided to all residents free of charge, except for daycare services. Services or programs must be provided on-site except that projects may use off-site services if they have a written agreement with the service provider enabling the project's residents to use the services or program free of charge. Referral services will not be eligible for points. 
To receive points for a “sponsor provided” service, the plan describing the service or program must be submitted with the application. The plan must have been completed within six months prior to the application submission deadline date.
To receive points for a service or program provided by an organization other than the sponsor, an executed Memorandum of Understanding (MOU), service contract, or letter of commitment for the service must be completed by the provider of the service or program, and submitted with the application. The MOU, service contract, or letter of commitment must have been executed within six months prior to the application submission deadline date.
If supporting documentation is not submitted for a particular service or program selected, points will not be given for that activity. Documentation must include the following information: (1) service provider name; (2) service or program description; (3) scope of service or program; (4) service provider commitment to project; and (5) any costs to residents. Additionally, to receive points, you must complete the Promotion of Empowerment Budget in the Application Financial Workbook, showing annual projected expenses and sources of funding for the service(s).
Services must be available to all residents to receive points. If the service is available to the community at large, the documentation must indicate specific accommodations, special access, or preferences secured for residents.
</t>
    </r>
    <r>
      <rPr>
        <b/>
        <sz val="10"/>
        <color theme="1"/>
        <rFont val="Arial"/>
        <family val="2"/>
      </rPr>
      <t>Indicate which services and programs will be provided to financially empower residents</t>
    </r>
    <r>
      <rPr>
        <sz val="10"/>
        <color theme="1"/>
        <rFont val="Arial"/>
        <family val="2"/>
      </rPr>
      <t>. Each empowerment feature listed below is worth five points; however, no more than 5 points will be awarded in this category. No partial points will be given. To receive 5 points, the project sponsor must commit to providing at least one of the five empowering services or programs.</t>
    </r>
  </si>
  <si>
    <t>Services should include employment/workforce development readiness services or programs; vocational training; employment/career counseling and job placement; or adult-accredited education programs that include English as a second language, GED, and computer classes. Frequency of service requirements is bi-monthly (once every two months) or equivalent.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</si>
</sst>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4" formatCode="_(&quot;$&quot;* #,##0.00_);_(&quot;$&quot;* \(#,##0.00\);_(&quot;$&quot;* &quot;-&quot;??_);_(@_)"/>
    <numFmt numFmtId="43" formatCode="_(* #,##0.00_);_(* \(#,##0.00\);_(* &quot;-&quot;??_);_(@_)"/>
    <numFmt numFmtId="164" formatCode="00000\-0000"/>
    <numFmt numFmtId="165" formatCode="00000"/>
    <numFmt numFmtId="166" formatCode="0000"/>
    <numFmt numFmtId="167" formatCode="000"/>
    <numFmt numFmtId="168" formatCode="&quot;$&quot;#,##0.00"/>
    <numFmt numFmtId="169" formatCode="0.00\%"/>
  </numFmts>
  <fonts count="69" x14ac:knownFonts="1">
    <font>
      <sz val="11"/>
      <color theme="1"/>
      <name val="Calibri"/>
      <family val="2"/>
      <scheme val="minor"/>
    </font>
    <font>
      <sz val="11"/>
      <color theme="1"/>
      <name val="Calibri"/>
      <family val="2"/>
      <scheme val="minor"/>
    </font>
    <font>
      <sz val="10"/>
      <color theme="1"/>
      <name val="Calibri"/>
      <family val="2"/>
      <scheme val="minor"/>
    </font>
    <font>
      <sz val="9"/>
      <color indexed="81"/>
      <name val="Tahoma"/>
      <family val="2"/>
    </font>
    <font>
      <b/>
      <sz val="9"/>
      <color indexed="81"/>
      <name val="Tahoma"/>
      <family val="2"/>
    </font>
    <font>
      <b/>
      <sz val="10"/>
      <color theme="1"/>
      <name val="Calibri"/>
      <family val="2"/>
      <scheme val="minor"/>
    </font>
    <font>
      <i/>
      <sz val="10"/>
      <color theme="1"/>
      <name val="Calibri"/>
      <family val="2"/>
      <scheme val="minor"/>
    </font>
    <font>
      <u/>
      <sz val="11"/>
      <color theme="10"/>
      <name val="Calibri"/>
      <family val="2"/>
    </font>
    <font>
      <b/>
      <sz val="10"/>
      <color theme="0"/>
      <name val="Calibri"/>
      <family val="2"/>
      <scheme val="minor"/>
    </font>
    <font>
      <sz val="10"/>
      <color theme="1"/>
      <name val="Calibri"/>
      <family val="2"/>
      <scheme val="minor"/>
    </font>
    <font>
      <b/>
      <sz val="11"/>
      <color theme="0"/>
      <name val="Calibri"/>
      <family val="2"/>
      <scheme val="minor"/>
    </font>
    <font>
      <sz val="10"/>
      <color theme="1"/>
      <name val="Calibri"/>
      <family val="2"/>
      <scheme val="minor"/>
    </font>
    <font>
      <sz val="10"/>
      <color theme="1"/>
      <name val="Calibri"/>
      <family val="2"/>
      <scheme val="minor"/>
    </font>
    <font>
      <sz val="10"/>
      <name val="Arial"/>
      <family val="2"/>
    </font>
    <font>
      <sz val="10"/>
      <color theme="1"/>
      <name val="Calibri"/>
      <family val="2"/>
      <scheme val="minor"/>
    </font>
    <font>
      <b/>
      <i/>
      <sz val="9"/>
      <name val="Arial"/>
      <family val="2"/>
    </font>
    <font>
      <sz val="11"/>
      <color theme="1"/>
      <name val="Arial"/>
      <family val="2"/>
    </font>
    <font>
      <i/>
      <sz val="9"/>
      <color theme="1"/>
      <name val="Arial"/>
      <family val="2"/>
    </font>
    <font>
      <b/>
      <sz val="20"/>
      <color theme="1"/>
      <name val="Arial"/>
      <family val="2"/>
    </font>
    <font>
      <u/>
      <sz val="11"/>
      <color theme="10"/>
      <name val="Arial"/>
      <family val="2"/>
    </font>
    <font>
      <b/>
      <sz val="14"/>
      <color theme="1"/>
      <name val="Arial"/>
      <family val="2"/>
    </font>
    <font>
      <b/>
      <sz val="11"/>
      <color theme="0"/>
      <name val="Arial"/>
      <family val="2"/>
    </font>
    <font>
      <b/>
      <sz val="16"/>
      <color theme="1"/>
      <name val="Arial"/>
      <family val="2"/>
    </font>
    <font>
      <sz val="11"/>
      <name val="Arial"/>
      <family val="2"/>
    </font>
    <font>
      <b/>
      <sz val="11"/>
      <name val="Arial"/>
      <family val="2"/>
    </font>
    <font>
      <sz val="9"/>
      <color theme="1"/>
      <name val="Arial"/>
      <family val="2"/>
    </font>
    <font>
      <b/>
      <sz val="9"/>
      <name val="Arial"/>
      <family val="2"/>
    </font>
    <font>
      <sz val="10"/>
      <color theme="1"/>
      <name val="Arial"/>
      <family val="2"/>
    </font>
    <font>
      <b/>
      <sz val="10"/>
      <color theme="0"/>
      <name val="Arial"/>
      <family val="2"/>
    </font>
    <font>
      <b/>
      <sz val="10"/>
      <name val="Arial"/>
      <family val="2"/>
    </font>
    <font>
      <b/>
      <sz val="10"/>
      <color theme="1"/>
      <name val="Arial"/>
      <family val="2"/>
    </font>
    <font>
      <b/>
      <sz val="9"/>
      <color theme="1"/>
      <name val="Arial"/>
      <family val="2"/>
    </font>
    <font>
      <sz val="8"/>
      <color theme="1"/>
      <name val="Arial"/>
      <family val="2"/>
    </font>
    <font>
      <b/>
      <sz val="11"/>
      <color theme="1"/>
      <name val="Arial"/>
      <family val="2"/>
    </font>
    <font>
      <b/>
      <sz val="12"/>
      <color theme="1"/>
      <name val="Arial"/>
      <family val="2"/>
    </font>
    <font>
      <b/>
      <i/>
      <sz val="9"/>
      <color theme="1"/>
      <name val="Arial"/>
      <family val="2"/>
    </font>
    <font>
      <i/>
      <sz val="10"/>
      <color theme="1"/>
      <name val="Arial"/>
      <family val="2"/>
    </font>
    <font>
      <sz val="9"/>
      <name val="Arial"/>
      <family val="2"/>
    </font>
    <font>
      <sz val="4"/>
      <color theme="0"/>
      <name val="Arial"/>
      <family val="2"/>
    </font>
    <font>
      <b/>
      <u/>
      <sz val="10"/>
      <color theme="1"/>
      <name val="Arial"/>
      <family val="2"/>
    </font>
    <font>
      <b/>
      <sz val="9"/>
      <color rgb="FFFF0000"/>
      <name val="Arial"/>
      <family val="2"/>
    </font>
    <font>
      <b/>
      <u/>
      <sz val="9"/>
      <color theme="1"/>
      <name val="Arial"/>
      <family val="2"/>
    </font>
    <font>
      <b/>
      <u/>
      <sz val="9"/>
      <color theme="4" tint="-0.249977111117893"/>
      <name val="Arial"/>
      <family val="2"/>
    </font>
    <font>
      <b/>
      <sz val="8"/>
      <color theme="1"/>
      <name val="Arial"/>
      <family val="2"/>
    </font>
    <font>
      <b/>
      <sz val="8"/>
      <name val="Arial"/>
      <family val="2"/>
    </font>
    <font>
      <i/>
      <sz val="8"/>
      <color theme="1"/>
      <name val="Arial"/>
      <family val="2"/>
    </font>
    <font>
      <sz val="8"/>
      <name val="Arial"/>
      <family val="2"/>
    </font>
    <font>
      <i/>
      <sz val="10"/>
      <color theme="0"/>
      <name val="Arial"/>
      <family val="2"/>
    </font>
    <font>
      <sz val="10"/>
      <color rgb="FFFF0000"/>
      <name val="Arial"/>
      <family val="2"/>
    </font>
    <font>
      <b/>
      <sz val="10"/>
      <color theme="4" tint="-0.499984740745262"/>
      <name val="Arial"/>
      <family val="2"/>
    </font>
    <font>
      <sz val="10"/>
      <color theme="4" tint="-0.499984740745262"/>
      <name val="Arial"/>
      <family val="2"/>
    </font>
    <font>
      <b/>
      <i/>
      <sz val="10"/>
      <name val="Arial"/>
      <family val="2"/>
    </font>
    <font>
      <sz val="10"/>
      <color theme="0"/>
      <name val="Arial"/>
      <family val="2"/>
    </font>
    <font>
      <b/>
      <i/>
      <sz val="8"/>
      <name val="Arial"/>
      <family val="2"/>
    </font>
    <font>
      <b/>
      <i/>
      <sz val="8"/>
      <color theme="1"/>
      <name val="Arial"/>
      <family val="2"/>
    </font>
    <font>
      <b/>
      <u/>
      <sz val="8"/>
      <color theme="4" tint="-0.249977111117893"/>
      <name val="Arial"/>
      <family val="2"/>
    </font>
    <font>
      <sz val="8"/>
      <color rgb="FF000000"/>
      <name val="Tahoma"/>
      <family val="2"/>
    </font>
    <font>
      <sz val="10"/>
      <color theme="0"/>
      <name val="Calibri"/>
      <family val="2"/>
      <scheme val="minor"/>
    </font>
    <font>
      <u/>
      <sz val="8"/>
      <color rgb="FF0070C0"/>
      <name val="Arial"/>
      <family val="2"/>
    </font>
    <font>
      <b/>
      <sz val="18"/>
      <name val="Arial"/>
      <family val="2"/>
    </font>
    <font>
      <strike/>
      <sz val="10"/>
      <color theme="1"/>
      <name val="Calibri"/>
      <family val="2"/>
      <scheme val="minor"/>
    </font>
    <font>
      <sz val="10"/>
      <color theme="1"/>
      <name val="Calibri"/>
      <family val="2"/>
      <scheme val="minor"/>
    </font>
    <font>
      <b/>
      <sz val="11"/>
      <color theme="0"/>
      <name val="Calibri"/>
      <family val="2"/>
      <scheme val="minor"/>
    </font>
    <font>
      <b/>
      <u/>
      <sz val="10"/>
      <color theme="3"/>
      <name val="Arial"/>
      <family val="2"/>
    </font>
    <font>
      <sz val="9"/>
      <color rgb="FFFF0000"/>
      <name val="Arial"/>
      <family val="2"/>
    </font>
    <font>
      <b/>
      <sz val="10"/>
      <color rgb="FFFF0000"/>
      <name val="Arial"/>
      <family val="2"/>
    </font>
    <font>
      <sz val="11"/>
      <color theme="0"/>
      <name val="Arial"/>
      <family val="2"/>
    </font>
    <font>
      <b/>
      <i/>
      <sz val="10"/>
      <color theme="5"/>
      <name val="Arial"/>
      <family val="2"/>
    </font>
    <font>
      <b/>
      <sz val="11"/>
      <color rgb="FFFF0000"/>
      <name val="Arial"/>
      <family val="2"/>
    </font>
  </fonts>
  <fills count="27">
    <fill>
      <patternFill patternType="none"/>
    </fill>
    <fill>
      <patternFill patternType="gray125"/>
    </fill>
    <fill>
      <patternFill patternType="solid">
        <fgColor rgb="FFFFFFCC"/>
        <bgColor indexed="64"/>
      </patternFill>
    </fill>
    <fill>
      <patternFill patternType="solid">
        <fgColor theme="5"/>
        <bgColor theme="5"/>
      </patternFill>
    </fill>
    <fill>
      <patternFill patternType="solid">
        <fgColor theme="5" tint="0.59999389629810485"/>
        <bgColor theme="5" tint="0.59999389629810485"/>
      </patternFill>
    </fill>
    <fill>
      <patternFill patternType="solid">
        <fgColor theme="5" tint="0.79998168889431442"/>
        <bgColor theme="5" tint="0.79998168889431442"/>
      </patternFill>
    </fill>
    <fill>
      <patternFill patternType="solid">
        <fgColor theme="4" tint="0.79998168889431442"/>
        <bgColor indexed="64"/>
      </patternFill>
    </fill>
    <fill>
      <patternFill patternType="solid">
        <fgColor theme="0"/>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77BF42"/>
        <bgColor indexed="64"/>
      </patternFill>
    </fill>
    <fill>
      <patternFill patternType="solid">
        <fgColor theme="0" tint="-0.49998474074526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C000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lightUp">
        <fgColor theme="0" tint="-0.24994659260841701"/>
        <bgColor theme="0" tint="-0.14996795556505021"/>
      </patternFill>
    </fill>
    <fill>
      <patternFill patternType="solid">
        <fgColor theme="3" tint="0.79998168889431442"/>
        <bgColor indexed="64"/>
      </patternFill>
    </fill>
    <fill>
      <patternFill patternType="solid">
        <fgColor rgb="FFFFFF00"/>
        <bgColor indexed="64"/>
      </patternFill>
    </fill>
    <fill>
      <patternFill patternType="solid">
        <fgColor theme="7"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bottom style="thin">
        <color theme="6"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thick">
        <color theme="0"/>
      </bottom>
      <diagonal/>
    </border>
    <border>
      <left/>
      <right/>
      <top/>
      <bottom style="thin">
        <color theme="0"/>
      </bottom>
      <diagonal/>
    </border>
    <border>
      <left/>
      <right/>
      <top/>
      <bottom style="thin">
        <color theme="9" tint="0.39997558519241921"/>
      </bottom>
      <diagonal/>
    </border>
    <border>
      <left/>
      <right/>
      <top style="thin">
        <color indexed="64"/>
      </top>
      <bottom/>
      <diagonal/>
    </border>
    <border>
      <left/>
      <right style="thin">
        <color theme="0"/>
      </right>
      <top/>
      <bottom style="thick">
        <color theme="0"/>
      </bottom>
      <diagonal/>
    </border>
    <border>
      <left/>
      <right style="thin">
        <color theme="0"/>
      </right>
      <top/>
      <bottom style="thin">
        <color theme="0"/>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bottom style="medium">
        <color indexed="64"/>
      </bottom>
      <diagonal/>
    </border>
    <border>
      <left/>
      <right/>
      <top style="double">
        <color indexed="64"/>
      </top>
      <bottom/>
      <diagonal/>
    </border>
    <border>
      <left/>
      <right/>
      <top/>
      <bottom style="medium">
        <color rgb="FF00305E"/>
      </bottom>
      <diagonal/>
    </border>
    <border>
      <left/>
      <right/>
      <top/>
      <bottom style="thin">
        <color rgb="FF00305E"/>
      </bottom>
      <diagonal/>
    </border>
    <border>
      <left style="thin">
        <color rgb="FF00305E"/>
      </left>
      <right style="thin">
        <color rgb="FF00305E"/>
      </right>
      <top style="thin">
        <color rgb="FF00305E"/>
      </top>
      <bottom style="thin">
        <color rgb="FF00305E"/>
      </bottom>
      <diagonal/>
    </border>
    <border>
      <left/>
      <right style="thin">
        <color theme="0"/>
      </right>
      <top/>
      <bottom/>
      <diagonal/>
    </border>
    <border>
      <left/>
      <right style="thin">
        <color theme="0"/>
      </right>
      <top style="thin">
        <color theme="0"/>
      </top>
      <bottom style="thin">
        <color theme="0"/>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thin">
        <color rgb="FF00305E"/>
      </left>
      <right/>
      <top style="thin">
        <color rgb="FF00305E"/>
      </top>
      <bottom style="thin">
        <color rgb="FF00305E"/>
      </bottom>
      <diagonal/>
    </border>
    <border>
      <left/>
      <right style="thin">
        <color theme="0" tint="-0.34998626667073579"/>
      </right>
      <top style="thin">
        <color indexed="64"/>
      </top>
      <bottom/>
      <diagonal/>
    </border>
    <border>
      <left/>
      <right style="thin">
        <color theme="0" tint="-0.34998626667073579"/>
      </right>
      <top/>
      <bottom/>
      <diagonal/>
    </border>
    <border>
      <left style="thin">
        <color theme="0" tint="-0.34998626667073579"/>
      </left>
      <right/>
      <top/>
      <bottom/>
      <diagonal/>
    </border>
  </borders>
  <cellStyleXfs count="8">
    <xf numFmtId="0" fontId="0" fillId="0" borderId="0"/>
    <xf numFmtId="44" fontId="1" fillId="0" borderId="0" applyFont="0" applyFill="0" applyBorder="0" applyAlignment="0" applyProtection="0"/>
    <xf numFmtId="0" fontId="7" fillId="0" borderId="0" applyNumberFormat="0" applyFill="0" applyBorder="0" applyAlignment="0" applyProtection="0">
      <alignment vertical="top"/>
      <protection locked="0"/>
    </xf>
    <xf numFmtId="9" fontId="1"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cellStyleXfs>
  <cellXfs count="749">
    <xf numFmtId="0" fontId="0" fillId="0" borderId="0" xfId="0"/>
    <xf numFmtId="0" fontId="2" fillId="0" borderId="0" xfId="0" applyFont="1"/>
    <xf numFmtId="0" fontId="2" fillId="0" borderId="0" xfId="0" applyFont="1" applyAlignment="1">
      <alignment horizontal="left"/>
    </xf>
    <xf numFmtId="0" fontId="5" fillId="0" borderId="0" xfId="0" applyFont="1"/>
    <xf numFmtId="0" fontId="2" fillId="0" borderId="0" xfId="0" applyFont="1" applyBorder="1"/>
    <xf numFmtId="0" fontId="6" fillId="0" borderId="0" xfId="0" applyFont="1"/>
    <xf numFmtId="0" fontId="2" fillId="0" borderId="0" xfId="0" applyFont="1" applyBorder="1" applyAlignment="1">
      <alignment horizontal="left"/>
    </xf>
    <xf numFmtId="0" fontId="2" fillId="0" borderId="0" xfId="0" applyNumberFormat="1" applyFont="1"/>
    <xf numFmtId="0" fontId="2" fillId="0" borderId="0" xfId="0" applyNumberFormat="1" applyFont="1" applyBorder="1"/>
    <xf numFmtId="0" fontId="5" fillId="0" borderId="0" xfId="0" applyFont="1" applyAlignment="1">
      <alignment horizontal="left"/>
    </xf>
    <xf numFmtId="0" fontId="2" fillId="0" borderId="0" xfId="0" applyNumberFormat="1" applyFont="1" applyAlignment="1">
      <alignment horizontal="left"/>
    </xf>
    <xf numFmtId="0" fontId="2" fillId="0" borderId="0" xfId="0" applyNumberFormat="1" applyFont="1" applyBorder="1" applyAlignment="1">
      <alignment horizontal="left"/>
    </xf>
    <xf numFmtId="0" fontId="6" fillId="0" borderId="0" xfId="0" quotePrefix="1" applyFont="1" applyAlignment="1">
      <alignment horizontal="center"/>
    </xf>
    <xf numFmtId="164" fontId="2" fillId="0" borderId="0" xfId="0" applyNumberFormat="1" applyFont="1"/>
    <xf numFmtId="0" fontId="8" fillId="3" borderId="8" xfId="0" applyFont="1" applyFill="1" applyBorder="1"/>
    <xf numFmtId="0" fontId="9" fillId="0" borderId="0" xfId="0" applyFont="1"/>
    <xf numFmtId="0" fontId="9" fillId="0" borderId="0" xfId="0" applyNumberFormat="1" applyFont="1"/>
    <xf numFmtId="0" fontId="9" fillId="0" borderId="0" xfId="0" applyFont="1" applyAlignment="1">
      <alignment horizontal="left"/>
    </xf>
    <xf numFmtId="0" fontId="9" fillId="0" borderId="0" xfId="0" applyNumberFormat="1" applyFont="1" applyAlignment="1">
      <alignment horizontal="left"/>
    </xf>
    <xf numFmtId="0" fontId="9" fillId="0" borderId="0" xfId="0" applyFont="1" applyBorder="1"/>
    <xf numFmtId="0" fontId="9" fillId="0" borderId="0" xfId="0" applyFont="1" applyBorder="1" applyAlignment="1">
      <alignment horizontal="left"/>
    </xf>
    <xf numFmtId="0" fontId="9" fillId="0" borderId="0" xfId="0" applyNumberFormat="1" applyFont="1" applyBorder="1"/>
    <xf numFmtId="0" fontId="9" fillId="0" borderId="0" xfId="0" applyNumberFormat="1" applyFont="1" applyBorder="1" applyAlignment="1">
      <alignment horizontal="left"/>
    </xf>
    <xf numFmtId="0" fontId="2" fillId="0" borderId="0" xfId="0" applyFont="1" applyAlignment="1">
      <alignment horizontal="center"/>
    </xf>
    <xf numFmtId="0" fontId="9" fillId="0" borderId="0" xfId="0" applyFont="1" applyAlignment="1">
      <alignment horizontal="center"/>
    </xf>
    <xf numFmtId="0" fontId="2" fillId="0" borderId="0" xfId="0" applyFont="1" applyBorder="1" applyAlignment="1">
      <alignment horizontal="center"/>
    </xf>
    <xf numFmtId="0" fontId="9" fillId="0" borderId="0" xfId="0" applyFont="1" applyBorder="1" applyAlignment="1">
      <alignment horizontal="center"/>
    </xf>
    <xf numFmtId="44" fontId="2" fillId="0" borderId="0" xfId="0" applyNumberFormat="1" applyFont="1" applyBorder="1" applyAlignment="1">
      <alignment horizontal="left"/>
    </xf>
    <xf numFmtId="0" fontId="2" fillId="8" borderId="0" xfId="0" applyFont="1" applyFill="1"/>
    <xf numFmtId="0" fontId="2" fillId="9" borderId="0" xfId="0" applyNumberFormat="1" applyFont="1" applyFill="1" applyBorder="1" applyAlignment="1">
      <alignment horizontal="left"/>
    </xf>
    <xf numFmtId="0" fontId="10" fillId="10" borderId="10" xfId="0" applyFont="1" applyFill="1" applyBorder="1"/>
    <xf numFmtId="0" fontId="0" fillId="11" borderId="0" xfId="0" applyFont="1" applyFill="1" applyBorder="1"/>
    <xf numFmtId="0" fontId="2" fillId="0" borderId="0" xfId="0" applyFont="1" applyFill="1" applyBorder="1"/>
    <xf numFmtId="0" fontId="2" fillId="0" borderId="0" xfId="0" applyNumberFormat="1" applyFont="1" applyFill="1" applyBorder="1" applyAlignment="1">
      <alignment horizontal="left"/>
    </xf>
    <xf numFmtId="0" fontId="2" fillId="0" borderId="0" xfId="0" applyNumberFormat="1" applyFont="1" applyFill="1" applyBorder="1"/>
    <xf numFmtId="0" fontId="11" fillId="0" borderId="0" xfId="0" applyFont="1" applyAlignment="1">
      <alignment horizontal="center"/>
    </xf>
    <xf numFmtId="0" fontId="8" fillId="3" borderId="12" xfId="0" applyFont="1" applyFill="1" applyBorder="1"/>
    <xf numFmtId="0" fontId="2" fillId="4" borderId="13" xfId="0" applyFont="1" applyFill="1" applyBorder="1"/>
    <xf numFmtId="0" fontId="2" fillId="5" borderId="13" xfId="0" applyFont="1" applyFill="1" applyBorder="1"/>
    <xf numFmtId="0" fontId="2" fillId="4" borderId="13" xfId="0" applyFont="1" applyFill="1" applyBorder="1" applyAlignment="1">
      <alignment horizontal="center"/>
    </xf>
    <xf numFmtId="0" fontId="2" fillId="5" borderId="13" xfId="0" applyFont="1" applyFill="1" applyBorder="1" applyAlignment="1">
      <alignment horizontal="center"/>
    </xf>
    <xf numFmtId="0" fontId="2" fillId="9" borderId="0" xfId="0" applyFont="1" applyFill="1" applyBorder="1" applyAlignment="1">
      <alignment horizontal="center"/>
    </xf>
    <xf numFmtId="0" fontId="9" fillId="9" borderId="0" xfId="0" applyFont="1" applyFill="1" applyBorder="1" applyAlignment="1">
      <alignment horizontal="center"/>
    </xf>
    <xf numFmtId="0" fontId="9" fillId="9" borderId="0" xfId="0" applyNumberFormat="1" applyFont="1" applyFill="1" applyBorder="1" applyAlignment="1">
      <alignment horizontal="left"/>
    </xf>
    <xf numFmtId="0" fontId="2" fillId="9" borderId="0" xfId="0" applyNumberFormat="1" applyFont="1" applyFill="1" applyAlignment="1">
      <alignment horizontal="left"/>
    </xf>
    <xf numFmtId="0" fontId="2" fillId="0" borderId="0" xfId="0" applyFont="1" applyFill="1" applyBorder="1" applyAlignment="1">
      <alignment horizontal="center"/>
    </xf>
    <xf numFmtId="0" fontId="2" fillId="4" borderId="9" xfId="0" applyFont="1" applyFill="1" applyBorder="1"/>
    <xf numFmtId="0" fontId="2" fillId="5" borderId="9" xfId="0" applyFont="1" applyFill="1" applyBorder="1"/>
    <xf numFmtId="0" fontId="2" fillId="5" borderId="25" xfId="0" applyFont="1" applyFill="1" applyBorder="1"/>
    <xf numFmtId="0" fontId="2" fillId="5" borderId="0" xfId="0" applyFont="1" applyFill="1"/>
    <xf numFmtId="0" fontId="2" fillId="4" borderId="0" xfId="0" applyFont="1" applyFill="1"/>
    <xf numFmtId="44" fontId="2" fillId="9" borderId="0" xfId="0" applyNumberFormat="1" applyFont="1" applyFill="1" applyBorder="1"/>
    <xf numFmtId="0" fontId="12" fillId="0" borderId="0" xfId="0" applyFont="1" applyBorder="1"/>
    <xf numFmtId="0" fontId="12" fillId="0" borderId="0" xfId="0" applyNumberFormat="1" applyFont="1" applyBorder="1"/>
    <xf numFmtId="0" fontId="12" fillId="0" borderId="0" xfId="0" applyFont="1" applyBorder="1" applyAlignment="1">
      <alignment horizontal="center"/>
    </xf>
    <xf numFmtId="0" fontId="12" fillId="0" borderId="0" xfId="0" applyFont="1" applyBorder="1" applyAlignment="1">
      <alignment horizontal="left"/>
    </xf>
    <xf numFmtId="0" fontId="12" fillId="9" borderId="0" xfId="0" applyNumberFormat="1" applyFont="1" applyFill="1" applyBorder="1" applyAlignment="1">
      <alignment horizontal="left"/>
    </xf>
    <xf numFmtId="0" fontId="12" fillId="0" borderId="0" xfId="0" applyNumberFormat="1" applyFont="1" applyBorder="1" applyAlignment="1">
      <alignment horizontal="left"/>
    </xf>
    <xf numFmtId="0" fontId="12" fillId="0" borderId="0" xfId="0" applyNumberFormat="1" applyFont="1" applyFill="1" applyBorder="1" applyAlignment="1">
      <alignment horizontal="left"/>
    </xf>
    <xf numFmtId="0" fontId="2" fillId="4" borderId="26" xfId="0" applyFont="1" applyFill="1" applyBorder="1"/>
    <xf numFmtId="0" fontId="2" fillId="8" borderId="0" xfId="0" applyFont="1" applyFill="1" applyAlignment="1">
      <alignment horizontal="left"/>
    </xf>
    <xf numFmtId="0" fontId="2" fillId="12" borderId="0" xfId="0" applyNumberFormat="1" applyFont="1" applyFill="1" applyBorder="1" applyAlignment="1">
      <alignment horizontal="left"/>
    </xf>
    <xf numFmtId="0" fontId="9" fillId="0" borderId="0" xfId="0" applyFont="1" applyFill="1"/>
    <xf numFmtId="0" fontId="2" fillId="0" borderId="0" xfId="0" applyFont="1" applyFill="1"/>
    <xf numFmtId="0" fontId="9" fillId="0" borderId="0" xfId="0" applyFont="1" applyFill="1" applyAlignment="1">
      <alignment horizontal="center"/>
    </xf>
    <xf numFmtId="0" fontId="2" fillId="0" borderId="20" xfId="0" applyFont="1" applyFill="1" applyBorder="1"/>
    <xf numFmtId="0" fontId="9" fillId="0" borderId="0" xfId="0" applyFont="1" applyFill="1" applyBorder="1"/>
    <xf numFmtId="0" fontId="2" fillId="0" borderId="20" xfId="0" applyFont="1" applyBorder="1"/>
    <xf numFmtId="0" fontId="2" fillId="0" borderId="20" xfId="0" applyNumberFormat="1" applyFont="1" applyBorder="1"/>
    <xf numFmtId="0" fontId="9" fillId="0" borderId="20" xfId="0" applyNumberFormat="1" applyFont="1" applyBorder="1"/>
    <xf numFmtId="0" fontId="9" fillId="0" borderId="20" xfId="0" applyFont="1" applyFill="1" applyBorder="1"/>
    <xf numFmtId="0" fontId="2" fillId="0" borderId="20" xfId="0" applyFont="1" applyBorder="1" applyAlignment="1">
      <alignment horizontal="center"/>
    </xf>
    <xf numFmtId="0" fontId="2" fillId="0" borderId="20" xfId="0" applyFont="1" applyBorder="1" applyAlignment="1">
      <alignment horizontal="left"/>
    </xf>
    <xf numFmtId="0" fontId="2" fillId="0" borderId="20" xfId="0" applyNumberFormat="1" applyFont="1" applyBorder="1" applyAlignment="1">
      <alignment horizontal="left"/>
    </xf>
    <xf numFmtId="0" fontId="2" fillId="9" borderId="20" xfId="0" applyFont="1" applyFill="1" applyBorder="1" applyAlignment="1">
      <alignment horizontal="left"/>
    </xf>
    <xf numFmtId="0" fontId="9" fillId="0" borderId="20" xfId="0" applyFont="1" applyBorder="1"/>
    <xf numFmtId="0" fontId="2" fillId="9" borderId="20" xfId="0" applyNumberFormat="1" applyFont="1" applyFill="1" applyBorder="1" applyAlignment="1">
      <alignment horizontal="left"/>
    </xf>
    <xf numFmtId="0" fontId="11" fillId="0" borderId="20" xfId="0" applyFont="1" applyBorder="1" applyAlignment="1">
      <alignment horizontal="center"/>
    </xf>
    <xf numFmtId="0" fontId="9" fillId="0" borderId="20" xfId="0" applyNumberFormat="1" applyFont="1" applyBorder="1" applyAlignment="1">
      <alignment horizontal="left"/>
    </xf>
    <xf numFmtId="0" fontId="9" fillId="0" borderId="20" xfId="0" applyFont="1" applyBorder="1" applyAlignment="1">
      <alignment horizontal="left"/>
    </xf>
    <xf numFmtId="0" fontId="2" fillId="9" borderId="20" xfId="0" applyFont="1" applyFill="1" applyBorder="1" applyAlignment="1">
      <alignment horizontal="center"/>
    </xf>
    <xf numFmtId="0" fontId="2" fillId="0" borderId="20" xfId="0" applyNumberFormat="1" applyFont="1" applyFill="1" applyBorder="1"/>
    <xf numFmtId="0" fontId="0" fillId="11" borderId="0" xfId="0" applyFont="1" applyFill="1" applyBorder="1" applyAlignment="1">
      <alignment horizontal="right"/>
    </xf>
    <xf numFmtId="0" fontId="12" fillId="0" borderId="0" xfId="0" applyNumberFormat="1" applyFont="1" applyFill="1" applyBorder="1"/>
    <xf numFmtId="0" fontId="12" fillId="9" borderId="0" xfId="0" applyFont="1" applyFill="1" applyBorder="1" applyAlignment="1">
      <alignment horizontal="center"/>
    </xf>
    <xf numFmtId="0" fontId="12" fillId="0" borderId="20" xfId="0" applyFont="1" applyBorder="1" applyAlignment="1">
      <alignment horizontal="center"/>
    </xf>
    <xf numFmtId="0" fontId="2" fillId="0" borderId="0" xfId="0" applyNumberFormat="1" applyFont="1" applyFill="1"/>
    <xf numFmtId="0" fontId="9" fillId="0" borderId="0" xfId="0" applyNumberFormat="1" applyFont="1" applyFill="1" applyBorder="1"/>
    <xf numFmtId="0" fontId="9" fillId="0" borderId="20" xfId="0" applyNumberFormat="1" applyFont="1" applyFill="1" applyBorder="1"/>
    <xf numFmtId="0" fontId="2" fillId="8" borderId="0" xfId="0" applyFont="1" applyFill="1" applyBorder="1"/>
    <xf numFmtId="0" fontId="12" fillId="9" borderId="20" xfId="0" applyFont="1" applyFill="1" applyBorder="1" applyAlignment="1">
      <alignment horizontal="center"/>
    </xf>
    <xf numFmtId="0" fontId="12" fillId="0" borderId="0" xfId="0" applyFont="1" applyFill="1" applyBorder="1"/>
    <xf numFmtId="0" fontId="12" fillId="0" borderId="0" xfId="0" applyFont="1" applyFill="1" applyBorder="1" applyAlignment="1">
      <alignment horizontal="center"/>
    </xf>
    <xf numFmtId="0" fontId="12" fillId="0" borderId="0" xfId="0" applyFont="1" applyFill="1" applyBorder="1" applyAlignment="1">
      <alignment horizontal="left"/>
    </xf>
    <xf numFmtId="0" fontId="2" fillId="0" borderId="0" xfId="0" applyFont="1" applyFill="1" applyBorder="1" applyAlignment="1">
      <alignment horizontal="left"/>
    </xf>
    <xf numFmtId="0" fontId="12" fillId="0" borderId="20" xfId="0" applyFont="1" applyFill="1" applyBorder="1"/>
    <xf numFmtId="0" fontId="2" fillId="0" borderId="20" xfId="0" applyFont="1" applyFill="1" applyBorder="1" applyAlignment="1">
      <alignment horizontal="left"/>
    </xf>
    <xf numFmtId="0" fontId="12" fillId="0" borderId="20" xfId="0" applyNumberFormat="1" applyFont="1" applyFill="1" applyBorder="1" applyAlignment="1">
      <alignment horizontal="left"/>
    </xf>
    <xf numFmtId="0" fontId="12" fillId="0" borderId="20" xfId="0" applyFont="1" applyFill="1" applyBorder="1" applyAlignment="1">
      <alignment horizontal="left"/>
    </xf>
    <xf numFmtId="0" fontId="12" fillId="0" borderId="20" xfId="0" applyNumberFormat="1" applyFont="1" applyFill="1" applyBorder="1"/>
    <xf numFmtId="0" fontId="2" fillId="0" borderId="20" xfId="0" applyNumberFormat="1" applyFont="1" applyFill="1" applyBorder="1" applyAlignment="1">
      <alignment horizontal="left"/>
    </xf>
    <xf numFmtId="0" fontId="2" fillId="9" borderId="0" xfId="0" applyNumberFormat="1" applyFont="1" applyFill="1" applyBorder="1"/>
    <xf numFmtId="0" fontId="2" fillId="9" borderId="20" xfId="0" applyNumberFormat="1" applyFont="1" applyFill="1" applyBorder="1"/>
    <xf numFmtId="0" fontId="9" fillId="9" borderId="0" xfId="0" applyNumberFormat="1" applyFont="1" applyFill="1"/>
    <xf numFmtId="0" fontId="2" fillId="0" borderId="31" xfId="0" applyFont="1" applyBorder="1"/>
    <xf numFmtId="0" fontId="2" fillId="0" borderId="31" xfId="0" applyNumberFormat="1" applyFont="1" applyBorder="1"/>
    <xf numFmtId="0" fontId="2" fillId="0" borderId="31" xfId="0" applyFont="1" applyFill="1" applyBorder="1"/>
    <xf numFmtId="0" fontId="2" fillId="9" borderId="31" xfId="0" applyFont="1" applyFill="1" applyBorder="1" applyAlignment="1">
      <alignment horizontal="center"/>
    </xf>
    <xf numFmtId="0" fontId="2" fillId="0" borderId="31" xfId="0" applyFont="1" applyBorder="1" applyAlignment="1">
      <alignment horizontal="left"/>
    </xf>
    <xf numFmtId="0" fontId="2" fillId="0" borderId="31" xfId="0" applyNumberFormat="1" applyFont="1" applyBorder="1" applyAlignment="1">
      <alignment horizontal="left"/>
    </xf>
    <xf numFmtId="0" fontId="2" fillId="9" borderId="31" xfId="0" applyNumberFormat="1" applyFont="1" applyFill="1" applyBorder="1" applyAlignment="1">
      <alignment horizontal="left"/>
    </xf>
    <xf numFmtId="0" fontId="2" fillId="9" borderId="31" xfId="0" applyNumberFormat="1" applyFont="1" applyFill="1" applyBorder="1"/>
    <xf numFmtId="0" fontId="2" fillId="9" borderId="0" xfId="0" applyFont="1" applyFill="1" applyAlignment="1">
      <alignment horizontal="center"/>
    </xf>
    <xf numFmtId="0" fontId="2" fillId="4" borderId="13" xfId="0" applyFont="1" applyFill="1" applyBorder="1" applyAlignment="1">
      <alignment horizontal="center" vertical="center"/>
    </xf>
    <xf numFmtId="0" fontId="2" fillId="5" borderId="13" xfId="0" applyFont="1" applyFill="1" applyBorder="1" applyAlignment="1">
      <alignment horizontal="center" vertical="center"/>
    </xf>
    <xf numFmtId="0" fontId="8" fillId="3" borderId="12" xfId="0" applyFont="1" applyFill="1" applyBorder="1" applyAlignment="1">
      <alignment horizontal="center"/>
    </xf>
    <xf numFmtId="0" fontId="2" fillId="20" borderId="0" xfId="0" applyFont="1" applyFill="1" applyBorder="1" applyAlignment="1">
      <alignment horizontal="left"/>
    </xf>
    <xf numFmtId="0" fontId="2" fillId="20" borderId="0" xfId="0" applyFont="1" applyFill="1" applyBorder="1" applyAlignment="1">
      <alignment horizontal="center"/>
    </xf>
    <xf numFmtId="0" fontId="12" fillId="9" borderId="20" xfId="0" applyNumberFormat="1" applyFont="1" applyFill="1" applyBorder="1" applyAlignment="1">
      <alignment horizontal="left"/>
    </xf>
    <xf numFmtId="0" fontId="2" fillId="20" borderId="0" xfId="0" applyFont="1" applyFill="1" applyBorder="1"/>
    <xf numFmtId="0" fontId="2" fillId="20" borderId="0" xfId="0" applyNumberFormat="1" applyFont="1" applyFill="1" applyBorder="1" applyAlignment="1">
      <alignment horizontal="left"/>
    </xf>
    <xf numFmtId="0" fontId="14" fillId="0" borderId="0" xfId="0" applyFont="1" applyBorder="1"/>
    <xf numFmtId="0" fontId="14" fillId="0" borderId="0" xfId="0" applyFont="1" applyBorder="1" applyAlignment="1">
      <alignment horizontal="left"/>
    </xf>
    <xf numFmtId="0" fontId="15" fillId="13" borderId="1" xfId="0" applyFont="1" applyFill="1" applyBorder="1" applyAlignment="1" applyProtection="1">
      <alignment horizontal="left"/>
      <protection hidden="1"/>
    </xf>
    <xf numFmtId="0" fontId="15" fillId="13" borderId="1" xfId="0" applyNumberFormat="1" applyFont="1" applyFill="1" applyBorder="1" applyAlignment="1" applyProtection="1">
      <alignment horizontal="left"/>
      <protection hidden="1"/>
    </xf>
    <xf numFmtId="0" fontId="16" fillId="0" borderId="0" xfId="0" applyFont="1" applyFill="1" applyProtection="1">
      <protection hidden="1"/>
    </xf>
    <xf numFmtId="0" fontId="16" fillId="0" borderId="0" xfId="0" applyFont="1" applyFill="1" applyBorder="1" applyProtection="1">
      <protection hidden="1"/>
    </xf>
    <xf numFmtId="0" fontId="17" fillId="14" borderId="1" xfId="0" applyFont="1" applyFill="1" applyBorder="1" applyAlignment="1" applyProtection="1">
      <alignment horizontal="left"/>
      <protection hidden="1"/>
    </xf>
    <xf numFmtId="0" fontId="17" fillId="2" borderId="1" xfId="0" applyNumberFormat="1" applyFont="1" applyFill="1" applyBorder="1" applyAlignment="1" applyProtection="1">
      <alignment horizontal="left"/>
      <protection hidden="1"/>
    </xf>
    <xf numFmtId="0" fontId="19" fillId="0" borderId="0" xfId="2" applyFont="1" applyFill="1" applyBorder="1" applyAlignment="1" applyProtection="1">
      <protection hidden="1"/>
    </xf>
    <xf numFmtId="0" fontId="17" fillId="2" borderId="1" xfId="0" applyNumberFormat="1" applyFont="1" applyFill="1" applyBorder="1" applyAlignment="1" applyProtection="1">
      <alignment horizontal="left"/>
      <protection locked="0" hidden="1"/>
    </xf>
    <xf numFmtId="0" fontId="22" fillId="0" borderId="0" xfId="0" applyFont="1" applyFill="1" applyBorder="1" applyAlignment="1" applyProtection="1">
      <alignment vertical="center"/>
      <protection hidden="1"/>
    </xf>
    <xf numFmtId="0" fontId="20" fillId="0" borderId="0" xfId="0" applyFont="1" applyFill="1" applyBorder="1" applyAlignment="1" applyProtection="1">
      <alignment horizontal="left" vertical="center" indent="3"/>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17" fillId="0" borderId="0" xfId="0" applyFont="1" applyFill="1" applyAlignment="1" applyProtection="1">
      <alignment horizontal="left"/>
      <protection hidden="1"/>
    </xf>
    <xf numFmtId="0" fontId="17" fillId="0" borderId="0" xfId="0" applyNumberFormat="1" applyFont="1" applyFill="1" applyAlignment="1" applyProtection="1">
      <alignment horizontal="left"/>
      <protection hidden="1"/>
    </xf>
    <xf numFmtId="0" fontId="16" fillId="0" borderId="0" xfId="0" applyFont="1" applyFill="1" applyBorder="1" applyAlignment="1" applyProtection="1">
      <alignment horizontal="left" vertical="center" indent="3"/>
      <protection hidden="1"/>
    </xf>
    <xf numFmtId="0" fontId="16" fillId="0" borderId="0" xfId="0" applyFont="1" applyFill="1" applyBorder="1" applyProtection="1"/>
    <xf numFmtId="9" fontId="32" fillId="7" borderId="24" xfId="3"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30" fillId="0" borderId="0" xfId="0" applyFont="1" applyFill="1" applyAlignment="1" applyProtection="1">
      <alignment vertical="center"/>
    </xf>
    <xf numFmtId="0" fontId="16" fillId="0" borderId="0" xfId="0" applyFont="1" applyFill="1" applyBorder="1" applyAlignment="1" applyProtection="1">
      <alignment vertical="center"/>
    </xf>
    <xf numFmtId="0" fontId="34" fillId="0" borderId="20" xfId="0" applyFont="1" applyFill="1" applyBorder="1" applyAlignment="1" applyProtection="1">
      <alignment vertical="center"/>
    </xf>
    <xf numFmtId="0" fontId="30" fillId="14" borderId="29" xfId="0" applyFont="1" applyFill="1" applyBorder="1" applyAlignment="1" applyProtection="1">
      <alignment vertical="center"/>
    </xf>
    <xf numFmtId="0" fontId="16" fillId="0" borderId="0" xfId="0" applyFont="1" applyFill="1" applyAlignment="1" applyProtection="1">
      <alignment horizontal="center" vertical="center"/>
    </xf>
    <xf numFmtId="0" fontId="16" fillId="0" borderId="0" xfId="0" applyFont="1" applyFill="1" applyProtection="1"/>
    <xf numFmtId="0" fontId="16" fillId="0" borderId="0" xfId="0" applyFont="1" applyFill="1" applyAlignment="1" applyProtection="1"/>
    <xf numFmtId="0" fontId="16" fillId="0" borderId="0" xfId="0" applyFont="1" applyFill="1" applyAlignment="1" applyProtection="1">
      <alignment vertical="top" wrapText="1"/>
    </xf>
    <xf numFmtId="0" fontId="25" fillId="0" borderId="0" xfId="0" applyFont="1" applyFill="1" applyAlignment="1" applyProtection="1">
      <alignment vertical="center" wrapText="1"/>
    </xf>
    <xf numFmtId="0" fontId="27" fillId="0" borderId="0" xfId="0" applyFont="1" applyFill="1" applyAlignment="1" applyProtection="1">
      <alignment vertical="center" wrapText="1"/>
    </xf>
    <xf numFmtId="0" fontId="25" fillId="0" borderId="0" xfId="0" applyFont="1" applyFill="1" applyAlignment="1" applyProtection="1">
      <alignment vertical="top" wrapText="1"/>
    </xf>
    <xf numFmtId="0" fontId="38" fillId="0" borderId="0" xfId="0" applyFont="1" applyFill="1" applyAlignment="1" applyProtection="1">
      <alignment horizontal="right"/>
      <protection locked="0"/>
    </xf>
    <xf numFmtId="0" fontId="27" fillId="0" borderId="0" xfId="0" applyFont="1" applyFill="1" applyAlignment="1" applyProtection="1">
      <alignment horizontal="center" vertical="center"/>
    </xf>
    <xf numFmtId="0" fontId="31" fillId="6" borderId="0" xfId="0" applyFont="1" applyFill="1" applyBorder="1" applyAlignment="1" applyProtection="1">
      <alignment horizontal="left" vertical="center" indent="1"/>
    </xf>
    <xf numFmtId="0" fontId="31" fillId="6" borderId="0" xfId="0" applyFont="1" applyFill="1" applyBorder="1" applyAlignment="1" applyProtection="1">
      <alignment horizontal="left" vertical="center"/>
    </xf>
    <xf numFmtId="0" fontId="31" fillId="6" borderId="0" xfId="0" applyFont="1" applyFill="1" applyBorder="1" applyAlignment="1" applyProtection="1">
      <alignment horizontal="right" vertical="center"/>
    </xf>
    <xf numFmtId="0" fontId="40" fillId="6" borderId="0" xfId="0" applyFont="1" applyFill="1" applyBorder="1" applyAlignment="1" applyProtection="1">
      <alignment horizontal="center" vertical="center"/>
    </xf>
    <xf numFmtId="0" fontId="31" fillId="6" borderId="23" xfId="0" applyFont="1" applyFill="1" applyBorder="1" applyAlignment="1" applyProtection="1">
      <alignment horizontal="left" vertical="center"/>
    </xf>
    <xf numFmtId="0" fontId="31" fillId="6" borderId="23" xfId="0" applyFont="1" applyFill="1" applyBorder="1" applyAlignment="1" applyProtection="1">
      <alignment horizontal="right" vertical="center"/>
    </xf>
    <xf numFmtId="0" fontId="31" fillId="0" borderId="0" xfId="0" applyFont="1" applyFill="1" applyBorder="1" applyAlignment="1" applyProtection="1">
      <alignment horizontal="left" vertical="center"/>
    </xf>
    <xf numFmtId="0" fontId="31" fillId="0" borderId="0" xfId="0" applyFont="1" applyFill="1" applyBorder="1" applyAlignment="1" applyProtection="1">
      <alignment horizontal="right" vertical="center"/>
    </xf>
    <xf numFmtId="0" fontId="25" fillId="0" borderId="0" xfId="0" applyFont="1" applyFill="1" applyBorder="1" applyAlignment="1" applyProtection="1">
      <alignment horizontal="center" vertical="center"/>
    </xf>
    <xf numFmtId="0" fontId="31" fillId="0" borderId="0" xfId="0" applyFont="1" applyFill="1" applyAlignment="1" applyProtection="1">
      <alignment vertical="center"/>
    </xf>
    <xf numFmtId="0" fontId="25" fillId="2" borderId="1"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25" fillId="0" borderId="0" xfId="0" applyFont="1" applyFill="1" applyBorder="1" applyAlignment="1" applyProtection="1">
      <alignment horizontal="left" vertical="center"/>
    </xf>
    <xf numFmtId="0" fontId="35" fillId="0" borderId="20" xfId="0" applyFont="1" applyFill="1" applyBorder="1" applyAlignment="1" applyProtection="1">
      <alignment horizontal="right" vertical="center"/>
    </xf>
    <xf numFmtId="0" fontId="31" fillId="14" borderId="29" xfId="0" applyFont="1" applyFill="1" applyBorder="1" applyAlignment="1" applyProtection="1">
      <alignment vertical="center"/>
    </xf>
    <xf numFmtId="0" fontId="31" fillId="14" borderId="29" xfId="0" applyFont="1" applyFill="1" applyBorder="1" applyAlignment="1" applyProtection="1">
      <alignment horizontal="left" vertical="center"/>
    </xf>
    <xf numFmtId="9" fontId="25" fillId="0" borderId="0" xfId="0" applyNumberFormat="1" applyFont="1" applyFill="1" applyBorder="1" applyAlignment="1" applyProtection="1">
      <alignment vertical="center"/>
    </xf>
    <xf numFmtId="9" fontId="25" fillId="0" borderId="0" xfId="0" applyNumberFormat="1" applyFont="1" applyFill="1" applyAlignment="1" applyProtection="1">
      <alignment vertical="center"/>
    </xf>
    <xf numFmtId="0" fontId="42" fillId="17" borderId="1" xfId="0" applyFont="1" applyFill="1" applyBorder="1" applyAlignment="1" applyProtection="1">
      <alignment horizontal="right" vertical="center"/>
    </xf>
    <xf numFmtId="0" fontId="25" fillId="0" borderId="0" xfId="0" applyFont="1" applyFill="1" applyAlignment="1" applyProtection="1">
      <alignment horizontal="center" vertical="center"/>
    </xf>
    <xf numFmtId="0" fontId="17" fillId="0" borderId="0" xfId="0" applyFont="1" applyFill="1" applyBorder="1" applyAlignment="1" applyProtection="1">
      <alignment horizontal="left"/>
    </xf>
    <xf numFmtId="0" fontId="17" fillId="0" borderId="0" xfId="0" applyFont="1" applyFill="1" applyAlignment="1" applyProtection="1">
      <alignment horizontal="right" vertical="center"/>
    </xf>
    <xf numFmtId="0" fontId="17" fillId="0" borderId="0" xfId="0" applyFont="1" applyFill="1" applyBorder="1" applyAlignment="1" applyProtection="1">
      <alignment horizontal="left" vertical="center"/>
    </xf>
    <xf numFmtId="0" fontId="17" fillId="0" borderId="0" xfId="0" applyFont="1" applyFill="1" applyAlignment="1" applyProtection="1">
      <alignment vertical="center" wrapText="1"/>
    </xf>
    <xf numFmtId="0" fontId="25" fillId="0" borderId="0" xfId="0" applyFont="1" applyFill="1" applyBorder="1" applyAlignment="1" applyProtection="1">
      <alignment vertical="center" wrapText="1" shrinkToFit="1"/>
    </xf>
    <xf numFmtId="0" fontId="26" fillId="2" borderId="18" xfId="0" applyFont="1" applyFill="1" applyBorder="1" applyAlignment="1" applyProtection="1">
      <alignment horizontal="center" vertical="center"/>
    </xf>
    <xf numFmtId="0" fontId="26" fillId="2" borderId="6"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25" fillId="2" borderId="6" xfId="0" applyFont="1" applyFill="1" applyBorder="1" applyAlignment="1" applyProtection="1">
      <alignment horizontal="center" vertical="center"/>
    </xf>
    <xf numFmtId="0" fontId="25" fillId="0" borderId="6" xfId="0" applyFont="1" applyFill="1" applyBorder="1" applyAlignment="1" applyProtection="1">
      <alignment horizontal="center" vertical="center" wrapText="1"/>
    </xf>
    <xf numFmtId="9" fontId="43" fillId="6" borderId="0" xfId="3" applyFont="1" applyFill="1" applyBorder="1" applyAlignment="1" applyProtection="1">
      <alignment horizontal="center" vertical="center"/>
    </xf>
    <xf numFmtId="0" fontId="44" fillId="0" borderId="0" xfId="0" applyFont="1" applyFill="1" applyBorder="1" applyAlignment="1" applyProtection="1">
      <alignment horizontal="center" vertical="center" shrinkToFit="1"/>
    </xf>
    <xf numFmtId="0" fontId="45" fillId="0" borderId="0" xfId="0" applyFont="1" applyFill="1" applyAlignment="1" applyProtection="1">
      <alignment horizontal="left" vertical="center"/>
    </xf>
    <xf numFmtId="0" fontId="32" fillId="0" borderId="0" xfId="0" applyFont="1" applyFill="1" applyAlignment="1" applyProtection="1">
      <alignment vertical="center"/>
    </xf>
    <xf numFmtId="0" fontId="44" fillId="0" borderId="0" xfId="0" applyFont="1" applyFill="1" applyBorder="1" applyAlignment="1" applyProtection="1">
      <alignment vertical="top" wrapText="1"/>
    </xf>
    <xf numFmtId="0" fontId="44" fillId="0" borderId="19" xfId="0" applyFont="1" applyFill="1" applyBorder="1" applyAlignment="1" applyProtection="1">
      <alignment horizontal="center" vertical="center" shrinkToFit="1"/>
    </xf>
    <xf numFmtId="0" fontId="46" fillId="0" borderId="0" xfId="0" applyFont="1" applyFill="1" applyBorder="1" applyAlignment="1" applyProtection="1">
      <alignment vertical="center" wrapText="1"/>
    </xf>
    <xf numFmtId="0" fontId="46" fillId="0" borderId="0" xfId="0" applyFont="1" applyFill="1" applyBorder="1" applyAlignment="1" applyProtection="1">
      <alignment horizontal="center" vertical="center"/>
    </xf>
    <xf numFmtId="0" fontId="46" fillId="0" borderId="19" xfId="0" applyFont="1" applyFill="1" applyBorder="1" applyAlignment="1" applyProtection="1">
      <alignment horizontal="center" vertical="center"/>
    </xf>
    <xf numFmtId="0" fontId="32" fillId="0" borderId="0" xfId="0" applyFont="1" applyFill="1" applyAlignment="1" applyProtection="1">
      <alignment vertical="center" wrapText="1"/>
    </xf>
    <xf numFmtId="0" fontId="27" fillId="0" borderId="0" xfId="0" applyFont="1" applyFill="1" applyAlignment="1" applyProtection="1"/>
    <xf numFmtId="0" fontId="27" fillId="0" borderId="22" xfId="0" applyFont="1" applyFill="1" applyBorder="1" applyProtection="1"/>
    <xf numFmtId="0" fontId="27" fillId="0" borderId="22" xfId="0" applyFont="1" applyFill="1" applyBorder="1" applyAlignment="1" applyProtection="1">
      <alignment horizontal="center" vertical="center"/>
    </xf>
    <xf numFmtId="0" fontId="27" fillId="6" borderId="0" xfId="0" applyFont="1" applyFill="1" applyBorder="1" applyAlignment="1" applyProtection="1">
      <alignment horizontal="left" vertical="center"/>
    </xf>
    <xf numFmtId="0" fontId="27" fillId="6" borderId="0" xfId="0" applyFont="1" applyFill="1" applyBorder="1" applyProtection="1"/>
    <xf numFmtId="0" fontId="27" fillId="6" borderId="0" xfId="0" applyFont="1" applyFill="1" applyBorder="1" applyAlignment="1" applyProtection="1">
      <alignment horizontal="center" vertical="center"/>
    </xf>
    <xf numFmtId="0" fontId="27" fillId="6" borderId="23" xfId="0" applyFont="1" applyFill="1" applyBorder="1" applyAlignment="1" applyProtection="1">
      <alignment horizontal="center" vertical="center"/>
    </xf>
    <xf numFmtId="0" fontId="27" fillId="6" borderId="23" xfId="0" applyFont="1" applyFill="1" applyBorder="1" applyProtection="1"/>
    <xf numFmtId="0" fontId="27" fillId="0" borderId="0" xfId="0" applyFont="1" applyFill="1" applyBorder="1" applyProtection="1"/>
    <xf numFmtId="0" fontId="27" fillId="0" borderId="0" xfId="0" applyFont="1" applyFill="1" applyBorder="1" applyProtection="1">
      <protection locked="0" hidden="1"/>
    </xf>
    <xf numFmtId="0" fontId="27" fillId="0" borderId="0" xfId="0" applyFont="1" applyFill="1" applyBorder="1" applyAlignment="1" applyProtection="1">
      <alignment vertical="center"/>
    </xf>
    <xf numFmtId="0" fontId="39" fillId="14" borderId="29" xfId="0" applyFont="1" applyFill="1" applyBorder="1" applyAlignment="1" applyProtection="1">
      <alignment vertical="center"/>
    </xf>
    <xf numFmtId="0" fontId="39" fillId="14" borderId="30" xfId="0" applyFont="1" applyFill="1" applyBorder="1" applyAlignment="1" applyProtection="1">
      <alignment vertical="center"/>
    </xf>
    <xf numFmtId="0" fontId="27" fillId="0" borderId="0" xfId="0" applyFont="1" applyFill="1" applyAlignment="1" applyProtection="1">
      <alignment vertical="center"/>
    </xf>
    <xf numFmtId="0" fontId="30" fillId="0" borderId="0" xfId="0" applyFont="1" applyFill="1" applyBorder="1" applyAlignment="1" applyProtection="1">
      <alignment vertical="center"/>
    </xf>
    <xf numFmtId="0" fontId="27" fillId="0" borderId="7" xfId="0" applyFont="1" applyFill="1" applyBorder="1" applyAlignment="1" applyProtection="1">
      <alignment vertical="center"/>
    </xf>
    <xf numFmtId="0" fontId="47" fillId="0" borderId="0" xfId="0" applyFont="1" applyFill="1" applyBorder="1" applyAlignment="1" applyProtection="1">
      <alignment horizontal="right" vertical="center"/>
    </xf>
    <xf numFmtId="0" fontId="48" fillId="0" borderId="0" xfId="0" applyFont="1" applyFill="1" applyBorder="1" applyAlignment="1" applyProtection="1">
      <alignment horizontal="center" vertical="center"/>
    </xf>
    <xf numFmtId="0" fontId="27" fillId="2" borderId="1" xfId="0" applyFont="1" applyFill="1" applyBorder="1" applyAlignment="1" applyProtection="1">
      <alignment horizontal="center" vertical="center"/>
      <protection locked="0"/>
    </xf>
    <xf numFmtId="165" fontId="27" fillId="2" borderId="4" xfId="0" applyNumberFormat="1" applyFont="1" applyFill="1" applyBorder="1" applyAlignment="1" applyProtection="1">
      <alignment horizontal="center" vertical="center"/>
      <protection locked="0"/>
    </xf>
    <xf numFmtId="166" fontId="27" fillId="2" borderId="6" xfId="0" applyNumberFormat="1" applyFont="1" applyFill="1" applyBorder="1" applyAlignment="1" applyProtection="1">
      <alignment horizontal="center" vertical="center"/>
      <protection locked="0"/>
    </xf>
    <xf numFmtId="0" fontId="27" fillId="0" borderId="0" xfId="0" applyFont="1" applyFill="1" applyProtection="1"/>
    <xf numFmtId="0" fontId="30" fillId="0" borderId="19" xfId="0" applyFont="1" applyFill="1" applyBorder="1" applyAlignment="1" applyProtection="1">
      <alignment vertical="center"/>
    </xf>
    <xf numFmtId="0" fontId="27" fillId="0" borderId="19" xfId="0" applyFont="1" applyFill="1" applyBorder="1" applyAlignment="1" applyProtection="1">
      <alignment horizontal="center" vertical="center"/>
    </xf>
    <xf numFmtId="0" fontId="27" fillId="0" borderId="19" xfId="0" applyFont="1" applyFill="1" applyBorder="1" applyProtection="1"/>
    <xf numFmtId="0" fontId="27" fillId="0" borderId="19" xfId="0" applyFont="1" applyFill="1" applyBorder="1" applyAlignment="1" applyProtection="1">
      <alignment horizontal="right" vertical="center"/>
    </xf>
    <xf numFmtId="0" fontId="27" fillId="2" borderId="15" xfId="0" applyFont="1" applyFill="1" applyBorder="1" applyAlignment="1" applyProtection="1">
      <alignment horizontal="center" vertical="center"/>
      <protection locked="0"/>
    </xf>
    <xf numFmtId="0" fontId="27" fillId="0" borderId="0" xfId="0" applyFont="1" applyFill="1" applyAlignment="1" applyProtection="1">
      <alignment horizontal="left" vertical="center" indent="2"/>
    </xf>
    <xf numFmtId="0" fontId="13" fillId="0" borderId="19" xfId="0" applyFont="1" applyFill="1" applyBorder="1" applyAlignment="1" applyProtection="1">
      <alignment horizontal="center" vertical="center"/>
    </xf>
    <xf numFmtId="0" fontId="27" fillId="0" borderId="19" xfId="0" applyFont="1" applyFill="1" applyBorder="1" applyAlignment="1" applyProtection="1"/>
    <xf numFmtId="0" fontId="13" fillId="0" borderId="0" xfId="0" applyFont="1" applyFill="1" applyBorder="1" applyAlignment="1" applyProtection="1">
      <alignment horizontal="center" vertical="center"/>
    </xf>
    <xf numFmtId="0" fontId="27" fillId="0" borderId="0" xfId="0" applyFont="1" applyFill="1" applyBorder="1" applyAlignment="1" applyProtection="1"/>
    <xf numFmtId="0" fontId="27" fillId="0" borderId="0" xfId="0" applyFont="1" applyFill="1" applyAlignment="1" applyProtection="1">
      <alignment horizontal="left" vertical="center"/>
    </xf>
    <xf numFmtId="0" fontId="13" fillId="0" borderId="0" xfId="0" applyFont="1" applyFill="1" applyBorder="1" applyAlignment="1" applyProtection="1">
      <alignment horizontal="center" vertical="center" shrinkToFit="1"/>
    </xf>
    <xf numFmtId="165" fontId="27" fillId="0" borderId="0" xfId="0" applyNumberFormat="1" applyFont="1" applyFill="1" applyBorder="1" applyAlignment="1" applyProtection="1">
      <alignment horizontal="left" vertical="center"/>
    </xf>
    <xf numFmtId="165" fontId="27" fillId="0" borderId="0" xfId="0" applyNumberFormat="1" applyFont="1" applyFill="1" applyBorder="1" applyAlignment="1" applyProtection="1">
      <alignment vertical="center"/>
    </xf>
    <xf numFmtId="3" fontId="27" fillId="2" borderId="1"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xf>
    <xf numFmtId="0" fontId="13" fillId="0" borderId="0" xfId="0" applyFont="1" applyFill="1" applyBorder="1" applyAlignment="1" applyProtection="1">
      <alignment horizontal="left" vertical="center"/>
    </xf>
    <xf numFmtId="0" fontId="13" fillId="0" borderId="21" xfId="0" applyFont="1" applyFill="1" applyBorder="1" applyAlignment="1" applyProtection="1">
      <alignment vertical="center"/>
    </xf>
    <xf numFmtId="0" fontId="13" fillId="0" borderId="21" xfId="0" applyFont="1" applyFill="1" applyBorder="1" applyAlignment="1" applyProtection="1">
      <alignment vertical="top"/>
    </xf>
    <xf numFmtId="0" fontId="27" fillId="0" borderId="0" xfId="0" applyFont="1" applyFill="1" applyBorder="1" applyAlignment="1" applyProtection="1">
      <alignment vertical="center" wrapText="1"/>
    </xf>
    <xf numFmtId="0" fontId="30" fillId="0" borderId="0" xfId="0" applyFont="1" applyFill="1" applyAlignment="1" applyProtection="1"/>
    <xf numFmtId="0" fontId="30" fillId="0" borderId="0" xfId="0" applyFont="1" applyFill="1" applyAlignment="1" applyProtection="1">
      <alignment horizontal="left" vertical="center"/>
    </xf>
    <xf numFmtId="0" fontId="49" fillId="18" borderId="0" xfId="0" applyFont="1" applyFill="1" applyAlignment="1" applyProtection="1">
      <alignment vertical="center"/>
    </xf>
    <xf numFmtId="0" fontId="50" fillId="18" borderId="0" xfId="0" applyFont="1" applyFill="1" applyAlignment="1" applyProtection="1">
      <alignment horizontal="center" vertical="center"/>
    </xf>
    <xf numFmtId="0" fontId="50" fillId="18" borderId="0" xfId="0" applyFont="1" applyFill="1" applyProtection="1"/>
    <xf numFmtId="0" fontId="27" fillId="0" borderId="0" xfId="0" applyFont="1" applyFill="1" applyBorder="1" applyAlignment="1" applyProtection="1">
      <alignment horizontal="center" vertical="center" shrinkToFit="1"/>
    </xf>
    <xf numFmtId="0" fontId="13" fillId="0" borderId="19" xfId="0" applyFont="1" applyFill="1" applyBorder="1" applyAlignment="1" applyProtection="1">
      <alignment vertical="top" wrapText="1"/>
    </xf>
    <xf numFmtId="0" fontId="27" fillId="0" borderId="0" xfId="0" applyFont="1" applyFill="1" applyAlignment="1" applyProtection="1">
      <alignment vertical="top" wrapText="1"/>
    </xf>
    <xf numFmtId="0" fontId="27" fillId="0" borderId="0" xfId="0" applyFont="1" applyFill="1" applyAlignment="1" applyProtection="1">
      <alignment vertical="top"/>
    </xf>
    <xf numFmtId="0" fontId="27" fillId="0" borderId="7" xfId="0" applyFont="1" applyFill="1" applyBorder="1" applyAlignment="1" applyProtection="1">
      <alignment vertical="top"/>
    </xf>
    <xf numFmtId="0" fontId="36" fillId="0" borderId="19" xfId="0" applyFont="1" applyFill="1" applyBorder="1" applyAlignment="1" applyProtection="1">
      <alignment horizontal="right" vertical="center"/>
    </xf>
    <xf numFmtId="0" fontId="27" fillId="0" borderId="0" xfId="0" applyFont="1" applyFill="1" applyAlignment="1" applyProtection="1">
      <alignment wrapText="1"/>
    </xf>
    <xf numFmtId="0" fontId="27" fillId="0" borderId="0" xfId="0" applyFont="1" applyAlignment="1"/>
    <xf numFmtId="0" fontId="27" fillId="0" borderId="0" xfId="0" applyFont="1" applyFill="1" applyAlignment="1" applyProtection="1">
      <alignment horizontal="left" wrapText="1"/>
    </xf>
    <xf numFmtId="0" fontId="27" fillId="0" borderId="0" xfId="0" applyFont="1" applyFill="1" applyAlignment="1" applyProtection="1">
      <alignment horizontal="center"/>
    </xf>
    <xf numFmtId="0" fontId="27" fillId="0" borderId="0" xfId="0" applyFont="1" applyFill="1" applyAlignment="1" applyProtection="1">
      <alignment horizontal="center" vertical="center" wrapText="1"/>
    </xf>
    <xf numFmtId="0" fontId="39" fillId="0" borderId="0" xfId="0" applyFont="1" applyFill="1" applyAlignment="1" applyProtection="1"/>
    <xf numFmtId="0" fontId="30" fillId="0" borderId="11" xfId="0" applyFont="1" applyFill="1" applyBorder="1" applyAlignment="1" applyProtection="1">
      <alignment vertical="center"/>
    </xf>
    <xf numFmtId="0" fontId="30" fillId="0" borderId="11" xfId="0" applyFont="1" applyFill="1" applyBorder="1" applyAlignment="1" applyProtection="1">
      <alignment horizontal="right" vertical="center" indent="1"/>
    </xf>
    <xf numFmtId="0" fontId="36" fillId="0" borderId="19" xfId="0" applyFont="1" applyFill="1" applyBorder="1" applyAlignment="1" applyProtection="1"/>
    <xf numFmtId="0" fontId="30" fillId="0" borderId="0" xfId="0" applyFont="1" applyFill="1" applyProtection="1"/>
    <xf numFmtId="0" fontId="30" fillId="0" borderId="0" xfId="0" applyFont="1" applyFill="1" applyAlignment="1" applyProtection="1">
      <alignment horizontal="right" vertical="center" indent="1"/>
    </xf>
    <xf numFmtId="0" fontId="27" fillId="0" borderId="0" xfId="0" applyFont="1" applyFill="1" applyAlignment="1" applyProtection="1">
      <alignment horizontal="left" vertical="center" wrapText="1"/>
    </xf>
    <xf numFmtId="0" fontId="27" fillId="0" borderId="0" xfId="0" applyFont="1" applyFill="1" applyBorder="1" applyAlignment="1" applyProtection="1">
      <alignment wrapText="1"/>
    </xf>
    <xf numFmtId="0" fontId="30" fillId="14" borderId="7" xfId="0" applyFont="1" applyFill="1" applyBorder="1" applyAlignment="1" applyProtection="1">
      <alignment vertical="center"/>
    </xf>
    <xf numFmtId="0" fontId="27" fillId="14" borderId="7" xfId="0" applyFont="1" applyFill="1" applyBorder="1" applyProtection="1"/>
    <xf numFmtId="0" fontId="27" fillId="14" borderId="7" xfId="0" applyFont="1" applyFill="1" applyBorder="1" applyAlignment="1" applyProtection="1">
      <alignment horizontal="center" vertical="center"/>
    </xf>
    <xf numFmtId="0" fontId="52" fillId="0" borderId="0" xfId="0" applyFont="1" applyFill="1" applyAlignment="1" applyProtection="1">
      <protection hidden="1"/>
    </xf>
    <xf numFmtId="0" fontId="30" fillId="0" borderId="0" xfId="0" applyFont="1" applyFill="1" applyBorder="1" applyAlignment="1" applyProtection="1">
      <alignment horizontal="left" vertical="center" indent="1"/>
    </xf>
    <xf numFmtId="0" fontId="27" fillId="0" borderId="0" xfId="0" applyFont="1" applyFill="1" applyAlignment="1" applyProtection="1">
      <alignment horizontal="left" vertical="center" indent="1"/>
    </xf>
    <xf numFmtId="0" fontId="52" fillId="0" borderId="0" xfId="0" applyFont="1" applyFill="1" applyAlignment="1" applyProtection="1">
      <alignment horizontal="center" vertical="center"/>
    </xf>
    <xf numFmtId="0" fontId="52" fillId="0" borderId="0" xfId="0" applyFont="1" applyFill="1" applyProtection="1"/>
    <xf numFmtId="0" fontId="52" fillId="0" borderId="0" xfId="0" applyFont="1" applyFill="1" applyBorder="1" applyAlignment="1" applyProtection="1">
      <alignment horizontal="center" vertical="center"/>
    </xf>
    <xf numFmtId="0" fontId="33" fillId="0" borderId="20" xfId="0" applyFont="1" applyFill="1" applyBorder="1" applyAlignment="1" applyProtection="1">
      <alignment vertical="center"/>
    </xf>
    <xf numFmtId="0" fontId="43" fillId="6" borderId="0" xfId="0" applyFont="1" applyFill="1" applyBorder="1" applyAlignment="1" applyProtection="1">
      <alignment horizontal="right" vertical="center"/>
    </xf>
    <xf numFmtId="0" fontId="34" fillId="2" borderId="5" xfId="0" quotePrefix="1" applyNumberFormat="1" applyFont="1" applyFill="1" applyBorder="1" applyAlignment="1" applyProtection="1">
      <alignment horizontal="center" vertical="center"/>
    </xf>
    <xf numFmtId="0" fontId="34" fillId="2" borderId="5" xfId="0" applyNumberFormat="1" applyFont="1" applyFill="1" applyBorder="1" applyAlignment="1" applyProtection="1">
      <alignment horizontal="center" vertical="center"/>
    </xf>
    <xf numFmtId="0" fontId="45" fillId="14" borderId="1" xfId="0" applyFont="1" applyFill="1" applyBorder="1" applyAlignment="1" applyProtection="1">
      <alignment horizontal="left" vertical="center" indent="2"/>
    </xf>
    <xf numFmtId="0" fontId="53" fillId="13" borderId="1" xfId="0" applyFont="1" applyFill="1" applyBorder="1" applyAlignment="1" applyProtection="1">
      <alignment horizontal="left"/>
    </xf>
    <xf numFmtId="0" fontId="53" fillId="13" borderId="1" xfId="0" applyNumberFormat="1" applyFont="1" applyFill="1" applyBorder="1" applyAlignment="1" applyProtection="1">
      <alignment horizontal="left"/>
    </xf>
    <xf numFmtId="0" fontId="53" fillId="13" borderId="4" xfId="0" applyFont="1" applyFill="1" applyBorder="1" applyAlignment="1" applyProtection="1">
      <alignment horizontal="left"/>
    </xf>
    <xf numFmtId="0" fontId="45" fillId="14" borderId="0" xfId="0" applyFont="1" applyFill="1" applyBorder="1" applyAlignment="1" applyProtection="1">
      <alignment horizontal="left"/>
    </xf>
    <xf numFmtId="0" fontId="45" fillId="14" borderId="0" xfId="0" applyNumberFormat="1" applyFont="1" applyFill="1" applyBorder="1" applyAlignment="1" applyProtection="1">
      <alignment horizontal="left"/>
    </xf>
    <xf numFmtId="0" fontId="45" fillId="14" borderId="1" xfId="0" applyFont="1" applyFill="1" applyBorder="1" applyAlignment="1" applyProtection="1">
      <alignment horizontal="left"/>
    </xf>
    <xf numFmtId="0" fontId="45" fillId="12" borderId="1" xfId="0" applyNumberFormat="1" applyFont="1" applyFill="1" applyBorder="1" applyAlignment="1" applyProtection="1">
      <alignment horizontal="left"/>
    </xf>
    <xf numFmtId="0" fontId="45" fillId="14" borderId="1" xfId="0" applyFont="1" applyFill="1" applyBorder="1" applyAlignment="1" applyProtection="1">
      <alignment horizontal="left" vertical="center"/>
    </xf>
    <xf numFmtId="0" fontId="45" fillId="12" borderId="1" xfId="0" applyNumberFormat="1" applyFont="1" applyFill="1" applyBorder="1" applyAlignment="1" applyProtection="1">
      <alignment horizontal="left" vertical="center"/>
    </xf>
    <xf numFmtId="0" fontId="32" fillId="14" borderId="1" xfId="0" applyFont="1" applyFill="1" applyBorder="1" applyAlignment="1" applyProtection="1">
      <alignment horizontal="left" vertical="center"/>
    </xf>
    <xf numFmtId="1" fontId="45" fillId="7" borderId="1" xfId="3" applyNumberFormat="1" applyFont="1" applyFill="1" applyBorder="1" applyAlignment="1" applyProtection="1">
      <alignment horizontal="left" vertical="center"/>
    </xf>
    <xf numFmtId="0" fontId="54" fillId="17" borderId="1" xfId="0" applyFont="1" applyFill="1" applyBorder="1" applyAlignment="1" applyProtection="1">
      <alignment horizontal="left" vertical="center"/>
    </xf>
    <xf numFmtId="0" fontId="55" fillId="17" borderId="1" xfId="0" applyFont="1" applyFill="1" applyBorder="1" applyAlignment="1" applyProtection="1">
      <alignment horizontal="left" vertical="center"/>
    </xf>
    <xf numFmtId="0" fontId="45" fillId="17" borderId="1" xfId="0" applyFont="1" applyFill="1" applyBorder="1" applyAlignment="1" applyProtection="1">
      <alignment horizontal="left" vertical="center"/>
    </xf>
    <xf numFmtId="0" fontId="45" fillId="6" borderId="1" xfId="0" applyNumberFormat="1" applyFont="1" applyFill="1" applyBorder="1" applyAlignment="1" applyProtection="1">
      <alignment horizontal="left" vertical="center"/>
    </xf>
    <xf numFmtId="164" fontId="45" fillId="6" borderId="1" xfId="0" applyNumberFormat="1" applyFont="1" applyFill="1" applyBorder="1" applyAlignment="1" applyProtection="1">
      <alignment horizontal="left" vertical="center"/>
    </xf>
    <xf numFmtId="0" fontId="45" fillId="14" borderId="1" xfId="0" applyFont="1" applyFill="1" applyBorder="1" applyAlignment="1" applyProtection="1">
      <alignment horizontal="left" vertical="center" indent="1"/>
    </xf>
    <xf numFmtId="9" fontId="45" fillId="12" borderId="1" xfId="3" applyFont="1" applyFill="1" applyBorder="1" applyAlignment="1" applyProtection="1">
      <alignment horizontal="left" vertical="center"/>
    </xf>
    <xf numFmtId="0" fontId="32" fillId="12" borderId="1" xfId="0" applyNumberFormat="1" applyFont="1" applyFill="1" applyBorder="1" applyAlignment="1" applyProtection="1">
      <alignment horizontal="left" vertical="center"/>
    </xf>
    <xf numFmtId="0" fontId="45" fillId="7" borderId="1" xfId="0" applyNumberFormat="1" applyFont="1" applyFill="1" applyBorder="1" applyAlignment="1" applyProtection="1">
      <alignment horizontal="left" vertical="center"/>
    </xf>
    <xf numFmtId="0" fontId="45" fillId="15" borderId="1" xfId="0" applyFont="1" applyFill="1" applyBorder="1" applyAlignment="1" applyProtection="1">
      <alignment horizontal="left" vertical="center" indent="1"/>
    </xf>
    <xf numFmtId="0" fontId="45" fillId="18" borderId="1" xfId="0" applyNumberFormat="1" applyFont="1" applyFill="1" applyBorder="1" applyAlignment="1" applyProtection="1">
      <alignment horizontal="left" vertical="center"/>
      <protection locked="0"/>
    </xf>
    <xf numFmtId="0" fontId="45" fillId="9" borderId="1" xfId="0" applyNumberFormat="1" applyFont="1" applyFill="1" applyBorder="1" applyAlignment="1" applyProtection="1">
      <alignment horizontal="left" vertical="center"/>
    </xf>
    <xf numFmtId="0" fontId="45" fillId="22" borderId="1" xfId="0" applyFont="1" applyFill="1" applyBorder="1" applyAlignment="1" applyProtection="1">
      <alignment horizontal="left" vertical="center" indent="2"/>
    </xf>
    <xf numFmtId="0" fontId="45" fillId="22" borderId="1" xfId="0" applyNumberFormat="1" applyFont="1" applyFill="1" applyBorder="1" applyAlignment="1" applyProtection="1">
      <alignment horizontal="left" vertical="center"/>
    </xf>
    <xf numFmtId="0" fontId="45" fillId="22" borderId="1" xfId="0" applyFont="1" applyFill="1" applyBorder="1" applyAlignment="1" applyProtection="1">
      <alignment horizontal="left" vertical="center"/>
    </xf>
    <xf numFmtId="0" fontId="45" fillId="2" borderId="1" xfId="0" applyNumberFormat="1" applyFont="1" applyFill="1" applyBorder="1" applyAlignment="1" applyProtection="1">
      <alignment horizontal="left" vertical="center"/>
    </xf>
    <xf numFmtId="0" fontId="45" fillId="0" borderId="0" xfId="0" applyFont="1" applyFill="1" applyAlignment="1" applyProtection="1">
      <alignment horizontal="left"/>
    </xf>
    <xf numFmtId="0" fontId="45" fillId="0" borderId="0" xfId="0" applyNumberFormat="1" applyFont="1" applyFill="1" applyAlignment="1" applyProtection="1">
      <alignment horizontal="left"/>
    </xf>
    <xf numFmtId="0" fontId="32" fillId="0" borderId="0" xfId="0" applyFont="1" applyFill="1" applyAlignment="1" applyProtection="1">
      <alignment horizontal="left"/>
    </xf>
    <xf numFmtId="0" fontId="32" fillId="0" borderId="0" xfId="0" applyNumberFormat="1" applyFont="1" applyFill="1" applyAlignment="1" applyProtection="1">
      <alignment horizontal="left"/>
    </xf>
    <xf numFmtId="0" fontId="21" fillId="17" borderId="1" xfId="0" applyNumberFormat="1" applyFont="1" applyFill="1" applyBorder="1" applyAlignment="1" applyProtection="1">
      <alignment horizontal="left" vertical="center"/>
    </xf>
    <xf numFmtId="0" fontId="38" fillId="0" borderId="0" xfId="0" applyFont="1" applyFill="1" applyAlignment="1" applyProtection="1">
      <alignment horizontal="right"/>
    </xf>
    <xf numFmtId="0" fontId="45" fillId="21" borderId="1" xfId="0" applyFont="1" applyFill="1" applyBorder="1" applyAlignment="1" applyProtection="1">
      <alignment horizontal="left" vertical="center" indent="2"/>
    </xf>
    <xf numFmtId="0" fontId="45" fillId="21" borderId="1" xfId="0" applyNumberFormat="1" applyFont="1" applyFill="1" applyBorder="1" applyAlignment="1" applyProtection="1">
      <alignment horizontal="left" vertical="center"/>
    </xf>
    <xf numFmtId="0" fontId="45" fillId="21" borderId="1" xfId="0" applyFont="1" applyFill="1" applyBorder="1" applyAlignment="1" applyProtection="1">
      <alignment horizontal="left" vertical="center"/>
    </xf>
    <xf numFmtId="0" fontId="32" fillId="0" borderId="0" xfId="0" applyFont="1" applyFill="1" applyBorder="1" applyAlignment="1" applyProtection="1">
      <alignment vertical="top" wrapText="1"/>
    </xf>
    <xf numFmtId="0" fontId="30" fillId="0" borderId="19" xfId="0" applyFont="1" applyFill="1" applyBorder="1" applyAlignment="1" applyProtection="1">
      <alignment horizontal="right" vertical="center"/>
    </xf>
    <xf numFmtId="0" fontId="27" fillId="0" borderId="0" xfId="0" applyFont="1" applyFill="1" applyBorder="1" applyAlignment="1" applyProtection="1">
      <alignment horizontal="left" vertical="center" indent="2"/>
    </xf>
    <xf numFmtId="0" fontId="27" fillId="0" borderId="0" xfId="0" applyFont="1" applyFill="1" applyBorder="1" applyAlignment="1" applyProtection="1">
      <alignment vertical="top" wrapText="1"/>
    </xf>
    <xf numFmtId="0" fontId="27" fillId="0" borderId="0" xfId="0" applyFont="1" applyFill="1" applyAlignment="1" applyProtection="1">
      <alignment horizontal="left" vertical="top" wrapText="1"/>
    </xf>
    <xf numFmtId="0" fontId="30" fillId="6" borderId="23" xfId="0" applyFont="1" applyFill="1" applyBorder="1" applyAlignment="1">
      <alignment vertical="center"/>
    </xf>
    <xf numFmtId="0" fontId="27" fillId="2" borderId="1" xfId="0" applyFont="1" applyFill="1" applyBorder="1" applyAlignment="1" applyProtection="1">
      <alignment horizontal="center" vertical="center"/>
      <protection locked="0"/>
    </xf>
    <xf numFmtId="0" fontId="27" fillId="14" borderId="24" xfId="0" applyFont="1" applyFill="1" applyBorder="1"/>
    <xf numFmtId="0" fontId="27" fillId="0" borderId="22" xfId="0" applyFont="1" applyFill="1" applyBorder="1" applyProtection="1">
      <protection hidden="1"/>
    </xf>
    <xf numFmtId="0" fontId="27" fillId="0" borderId="22" xfId="0" applyFont="1" applyFill="1" applyBorder="1" applyAlignment="1" applyProtection="1">
      <alignment horizontal="center" vertical="center"/>
      <protection hidden="1"/>
    </xf>
    <xf numFmtId="0" fontId="27" fillId="0" borderId="0" xfId="0" applyFont="1"/>
    <xf numFmtId="0" fontId="27" fillId="6" borderId="23" xfId="0" applyFont="1" applyFill="1" applyBorder="1"/>
    <xf numFmtId="0" fontId="30" fillId="0" borderId="0" xfId="0" applyFont="1" applyAlignment="1">
      <alignment vertical="center"/>
    </xf>
    <xf numFmtId="0" fontId="27" fillId="0" borderId="0" xfId="0" applyFont="1" applyAlignment="1">
      <alignment vertical="center"/>
    </xf>
    <xf numFmtId="0" fontId="27" fillId="0" borderId="0" xfId="0" applyFont="1" applyProtection="1">
      <protection locked="0"/>
    </xf>
    <xf numFmtId="0" fontId="30" fillId="0" borderId="20" xfId="0" applyFont="1" applyBorder="1"/>
    <xf numFmtId="0" fontId="27" fillId="0" borderId="20" xfId="0" applyFont="1" applyBorder="1"/>
    <xf numFmtId="168" fontId="27" fillId="0" borderId="0" xfId="0" applyNumberFormat="1" applyFont="1" applyFill="1" applyBorder="1" applyAlignment="1" applyProtection="1">
      <alignment horizontal="right" vertical="center" indent="1"/>
      <protection hidden="1"/>
    </xf>
    <xf numFmtId="0" fontId="30" fillId="0" borderId="0" xfId="0" applyFont="1" applyBorder="1"/>
    <xf numFmtId="0" fontId="27" fillId="0" borderId="0" xfId="0" applyFont="1" applyBorder="1"/>
    <xf numFmtId="0" fontId="36" fillId="0" borderId="0" xfId="0" applyFont="1" applyAlignment="1">
      <alignment vertical="center"/>
    </xf>
    <xf numFmtId="0" fontId="30" fillId="6" borderId="23" xfId="0" applyFont="1" applyFill="1" applyBorder="1" applyAlignment="1">
      <alignment horizontal="left" vertical="center" indent="1"/>
    </xf>
    <xf numFmtId="0" fontId="25" fillId="0" borderId="0" xfId="0" applyFont="1" applyFill="1" applyBorder="1" applyAlignment="1" applyProtection="1">
      <alignment horizontal="center" vertical="center"/>
    </xf>
    <xf numFmtId="0" fontId="27" fillId="2" borderId="1" xfId="0" applyFont="1" applyFill="1" applyBorder="1" applyAlignment="1" applyProtection="1">
      <alignment horizontal="center" vertical="center"/>
      <protection locked="0"/>
    </xf>
    <xf numFmtId="49" fontId="27" fillId="2" borderId="4" xfId="0" applyNumberFormat="1" applyFont="1" applyFill="1" applyBorder="1" applyAlignment="1" applyProtection="1">
      <alignment horizontal="center" vertical="center"/>
      <protection locked="0"/>
    </xf>
    <xf numFmtId="49" fontId="27" fillId="2" borderId="6" xfId="0" applyNumberFormat="1" applyFont="1" applyFill="1" applyBorder="1" applyAlignment="1" applyProtection="1">
      <alignment horizontal="center" vertical="center"/>
      <protection locked="0"/>
    </xf>
    <xf numFmtId="0" fontId="45" fillId="22" borderId="1" xfId="0" applyNumberFormat="1" applyFont="1" applyFill="1" applyBorder="1" applyAlignment="1" applyProtection="1">
      <alignment horizontal="left" vertical="center" indent="2"/>
    </xf>
    <xf numFmtId="0" fontId="2" fillId="8" borderId="20" xfId="0" applyFont="1" applyFill="1" applyBorder="1"/>
    <xf numFmtId="0" fontId="25" fillId="0" borderId="0" xfId="0" applyFont="1" applyFill="1" applyBorder="1" applyAlignment="1" applyProtection="1">
      <alignment horizontal="center" vertical="center"/>
    </xf>
    <xf numFmtId="0" fontId="27" fillId="2" borderId="1" xfId="0" applyFont="1" applyFill="1" applyBorder="1" applyAlignment="1" applyProtection="1">
      <alignment horizontal="center" vertical="center"/>
      <protection locked="0"/>
    </xf>
    <xf numFmtId="0" fontId="27" fillId="14" borderId="33" xfId="0" applyFont="1" applyFill="1" applyBorder="1"/>
    <xf numFmtId="0" fontId="6" fillId="0" borderId="0" xfId="0" applyFont="1" applyAlignment="1">
      <alignment horizontal="left"/>
    </xf>
    <xf numFmtId="0" fontId="16" fillId="0" borderId="11" xfId="0" applyFont="1" applyFill="1" applyBorder="1" applyAlignment="1" applyProtection="1"/>
    <xf numFmtId="0" fontId="16" fillId="0" borderId="7" xfId="0" applyFont="1" applyFill="1" applyBorder="1" applyAlignment="1" applyProtection="1"/>
    <xf numFmtId="0" fontId="27" fillId="0" borderId="11" xfId="0" applyFont="1" applyFill="1" applyBorder="1" applyAlignment="1" applyProtection="1">
      <alignment vertical="center"/>
    </xf>
    <xf numFmtId="0" fontId="27" fillId="0" borderId="7" xfId="0" applyFont="1" applyFill="1" applyBorder="1" applyAlignment="1" applyProtection="1"/>
    <xf numFmtId="0" fontId="27" fillId="0" borderId="7" xfId="0" applyFont="1" applyFill="1" applyBorder="1" applyAlignment="1" applyProtection="1">
      <alignment horizontal="left" vertical="center"/>
    </xf>
    <xf numFmtId="0" fontId="16" fillId="0" borderId="7" xfId="0" applyFont="1" applyFill="1" applyBorder="1" applyAlignment="1" applyProtection="1">
      <alignment vertical="center"/>
    </xf>
    <xf numFmtId="0" fontId="16" fillId="0" borderId="0" xfId="0" applyFont="1" applyFill="1" applyAlignment="1" applyProtection="1">
      <alignment vertical="center"/>
    </xf>
    <xf numFmtId="0" fontId="23" fillId="0" borderId="21"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7" xfId="0" applyFont="1" applyFill="1" applyBorder="1" applyAlignment="1" applyProtection="1">
      <alignment vertical="center"/>
    </xf>
    <xf numFmtId="0" fontId="13" fillId="0" borderId="21" xfId="0" applyFont="1" applyFill="1" applyBorder="1" applyAlignment="1" applyProtection="1"/>
    <xf numFmtId="0" fontId="13" fillId="0" borderId="7" xfId="0" applyFont="1" applyFill="1" applyBorder="1" applyAlignment="1" applyProtection="1">
      <alignment vertical="top"/>
    </xf>
    <xf numFmtId="0" fontId="2" fillId="0" borderId="7" xfId="0" applyFont="1" applyBorder="1" applyAlignment="1">
      <alignment vertical="center"/>
    </xf>
    <xf numFmtId="0" fontId="16" fillId="0" borderId="0" xfId="0" applyFont="1" applyFill="1" applyBorder="1" applyAlignment="1" applyProtection="1">
      <alignment horizontal="left" vertical="center" indent="2"/>
    </xf>
    <xf numFmtId="0" fontId="16" fillId="0" borderId="7" xfId="0" applyFont="1" applyFill="1" applyBorder="1" applyAlignment="1" applyProtection="1">
      <alignment horizontal="left" vertical="center"/>
    </xf>
    <xf numFmtId="0" fontId="25" fillId="0" borderId="0" xfId="0" applyFont="1" applyFill="1" applyBorder="1" applyAlignment="1" applyProtection="1">
      <alignment horizontal="center" vertical="center"/>
    </xf>
    <xf numFmtId="0" fontId="13" fillId="0" borderId="11" xfId="0" applyFont="1" applyFill="1" applyBorder="1" applyAlignment="1" applyProtection="1">
      <alignment vertical="center"/>
    </xf>
    <xf numFmtId="0" fontId="2" fillId="0" borderId="0" xfId="0" applyFont="1" applyBorder="1" applyAlignment="1">
      <alignment vertical="center"/>
    </xf>
    <xf numFmtId="0" fontId="16" fillId="0" borderId="0" xfId="0" applyFont="1" applyFill="1" applyBorder="1" applyAlignment="1" applyProtection="1"/>
    <xf numFmtId="0" fontId="27" fillId="2" borderId="1"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0" fontId="27" fillId="2" borderId="1" xfId="0" applyFont="1" applyFill="1" applyBorder="1" applyAlignment="1" applyProtection="1">
      <alignment horizontal="center" vertical="center"/>
      <protection locked="0"/>
    </xf>
    <xf numFmtId="0" fontId="27" fillId="0" borderId="1"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7" fillId="0" borderId="0" xfId="0" applyFont="1" applyFill="1" applyBorder="1" applyAlignment="1" applyProtection="1">
      <alignment vertical="top"/>
    </xf>
    <xf numFmtId="0" fontId="27" fillId="0" borderId="0" xfId="0" applyFont="1" applyFill="1" applyProtection="1">
      <protection locked="0"/>
    </xf>
    <xf numFmtId="0" fontId="52" fillId="0" borderId="0" xfId="0" applyFont="1" applyFill="1" applyAlignment="1" applyProtection="1">
      <protection locked="0"/>
    </xf>
    <xf numFmtId="0" fontId="57" fillId="20" borderId="0" xfId="0" applyFont="1" applyFill="1" applyBorder="1" applyAlignment="1">
      <alignment horizontal="left"/>
    </xf>
    <xf numFmtId="0" fontId="57" fillId="8" borderId="0" xfId="0" applyFont="1" applyFill="1" applyBorder="1"/>
    <xf numFmtId="0" fontId="27" fillId="0" borderId="0" xfId="0" applyFont="1" applyFill="1" applyAlignment="1" applyProtection="1">
      <alignment horizontal="left" vertical="center" indent="2"/>
    </xf>
    <xf numFmtId="0" fontId="25" fillId="0" borderId="11" xfId="0" applyFont="1" applyFill="1" applyBorder="1" applyAlignment="1" applyProtection="1">
      <alignment vertical="center"/>
    </xf>
    <xf numFmtId="0" fontId="25" fillId="0" borderId="16" xfId="0" applyFont="1" applyFill="1" applyBorder="1" applyAlignment="1" applyProtection="1">
      <alignment horizontal="left" vertical="center" indent="1"/>
    </xf>
    <xf numFmtId="0" fontId="45" fillId="0" borderId="0" xfId="0" applyFont="1" applyFill="1" applyAlignment="1" applyProtection="1">
      <alignment horizontal="left" vertical="center"/>
    </xf>
    <xf numFmtId="0" fontId="17" fillId="0" borderId="0" xfId="0" applyFont="1" applyFill="1" applyAlignment="1" applyProtection="1">
      <alignment horizontal="left" vertical="center"/>
    </xf>
    <xf numFmtId="0" fontId="27" fillId="2" borderId="1" xfId="0" applyFont="1" applyFill="1" applyBorder="1" applyAlignment="1" applyProtection="1">
      <alignment horizontal="center" vertical="center"/>
      <protection locked="0"/>
    </xf>
    <xf numFmtId="0" fontId="2" fillId="24" borderId="0" xfId="0" applyFont="1" applyFill="1" applyBorder="1"/>
    <xf numFmtId="0" fontId="36" fillId="0" borderId="0" xfId="0" applyFont="1" applyFill="1" applyAlignment="1" applyProtection="1">
      <alignment horizontal="left"/>
    </xf>
    <xf numFmtId="0" fontId="27" fillId="2" borderId="1" xfId="0" applyFont="1" applyFill="1" applyBorder="1" applyAlignment="1" applyProtection="1">
      <alignment horizontal="center" vertical="center"/>
      <protection locked="0"/>
    </xf>
    <xf numFmtId="14" fontId="2" fillId="25" borderId="0" xfId="0" applyNumberFormat="1" applyFont="1" applyFill="1" applyBorder="1" applyAlignment="1">
      <alignment horizontal="left"/>
    </xf>
    <xf numFmtId="0" fontId="2" fillId="25" borderId="0" xfId="0" applyFont="1" applyFill="1" applyBorder="1" applyAlignment="1">
      <alignment horizontal="left"/>
    </xf>
    <xf numFmtId="0" fontId="18" fillId="0" borderId="0" xfId="0" applyFont="1" applyFill="1" applyBorder="1" applyAlignment="1" applyProtection="1">
      <protection hidden="1"/>
    </xf>
    <xf numFmtId="0" fontId="34" fillId="0" borderId="0" xfId="0" applyFont="1" applyFill="1" applyBorder="1" applyAlignment="1" applyProtection="1">
      <alignment vertical="center"/>
      <protection hidden="1"/>
    </xf>
    <xf numFmtId="0" fontId="57" fillId="20" borderId="0" xfId="0" applyFont="1" applyFill="1"/>
    <xf numFmtId="0" fontId="57" fillId="20" borderId="0" xfId="0" applyFont="1" applyFill="1" applyAlignment="1">
      <alignment horizontal="center"/>
    </xf>
    <xf numFmtId="0" fontId="57" fillId="20" borderId="0" xfId="0" applyFont="1" applyFill="1" applyAlignment="1">
      <alignment horizontal="left"/>
    </xf>
    <xf numFmtId="0" fontId="57" fillId="20" borderId="0" xfId="0" applyNumberFormat="1" applyFont="1" applyFill="1" applyAlignment="1">
      <alignment horizontal="left"/>
    </xf>
    <xf numFmtId="0" fontId="27" fillId="0" borderId="0" xfId="0" applyFont="1" applyFill="1" applyAlignment="1" applyProtection="1">
      <alignment horizontal="left" vertical="center" indent="2"/>
    </xf>
    <xf numFmtId="0" fontId="45" fillId="0" borderId="0" xfId="0" applyFont="1" applyFill="1" applyAlignment="1" applyProtection="1">
      <alignment horizontal="left" vertical="center" indent="3"/>
    </xf>
    <xf numFmtId="0" fontId="45" fillId="0" borderId="0" xfId="0" applyNumberFormat="1" applyFont="1" applyFill="1" applyAlignment="1" applyProtection="1">
      <alignment horizontal="left" vertical="center" indent="3"/>
    </xf>
    <xf numFmtId="0" fontId="52" fillId="0" borderId="0" xfId="0" applyFont="1" applyFill="1" applyAlignment="1" applyProtection="1">
      <alignment horizontal="left" vertical="center" indent="3"/>
    </xf>
    <xf numFmtId="0" fontId="27" fillId="0" borderId="0" xfId="0" applyFont="1" applyFill="1" applyAlignment="1" applyProtection="1">
      <alignment horizontal="left" vertical="center" indent="3"/>
    </xf>
    <xf numFmtId="0" fontId="16" fillId="0" borderId="0" xfId="0" applyFont="1" applyFill="1" applyBorder="1" applyAlignment="1" applyProtection="1">
      <alignment horizontal="left" vertical="center" indent="3"/>
    </xf>
    <xf numFmtId="0" fontId="61" fillId="0" borderId="0" xfId="0" applyFont="1" applyBorder="1"/>
    <xf numFmtId="0" fontId="61" fillId="0" borderId="0" xfId="0" applyFont="1" applyBorder="1" applyAlignment="1">
      <alignment horizontal="left"/>
    </xf>
    <xf numFmtId="0" fontId="61" fillId="0" borderId="0" xfId="0" applyNumberFormat="1" applyFont="1" applyBorder="1" applyAlignment="1">
      <alignment horizontal="left"/>
    </xf>
    <xf numFmtId="0" fontId="61" fillId="0" borderId="0" xfId="0" applyNumberFormat="1" applyFont="1" applyBorder="1"/>
    <xf numFmtId="0" fontId="62" fillId="10" borderId="10" xfId="0" applyFont="1" applyFill="1" applyBorder="1"/>
    <xf numFmtId="3" fontId="27" fillId="2" borderId="1"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wrapText="1" shrinkToFit="1"/>
    </xf>
    <xf numFmtId="0" fontId="25" fillId="0" borderId="0" xfId="0" applyFont="1" applyFill="1" applyBorder="1" applyAlignment="1" applyProtection="1">
      <alignment horizontal="center" vertical="center"/>
    </xf>
    <xf numFmtId="0" fontId="61" fillId="0" borderId="0" xfId="0" applyFont="1" applyBorder="1" applyAlignment="1">
      <alignment horizontal="center"/>
    </xf>
    <xf numFmtId="0" fontId="61" fillId="0" borderId="0" xfId="0" applyNumberFormat="1" applyFont="1" applyFill="1" applyBorder="1"/>
    <xf numFmtId="0" fontId="27" fillId="0" borderId="0" xfId="0" applyFont="1" applyFill="1" applyBorder="1" applyAlignment="1" applyProtection="1">
      <alignment horizontal="left" wrapText="1"/>
    </xf>
    <xf numFmtId="0" fontId="30" fillId="0" borderId="0" xfId="0" applyFont="1" applyFill="1" applyBorder="1" applyAlignment="1" applyProtection="1">
      <alignment horizontal="left" vertical="center"/>
    </xf>
    <xf numFmtId="3" fontId="27" fillId="2" borderId="1"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xf>
    <xf numFmtId="0" fontId="2" fillId="12" borderId="20" xfId="0" applyNumberFormat="1" applyFont="1" applyFill="1" applyBorder="1"/>
    <xf numFmtId="0" fontId="64" fillId="0" borderId="1" xfId="0" applyFont="1" applyFill="1" applyBorder="1" applyAlignment="1" applyProtection="1">
      <alignment vertical="center"/>
    </xf>
    <xf numFmtId="0" fontId="65" fillId="0" borderId="0" xfId="0" applyFont="1" applyFill="1" applyBorder="1" applyAlignment="1" applyProtection="1">
      <alignment vertical="center"/>
    </xf>
    <xf numFmtId="0" fontId="42" fillId="0" borderId="1" xfId="0" applyFont="1" applyFill="1" applyBorder="1" applyAlignment="1" applyProtection="1">
      <alignment vertical="center"/>
    </xf>
    <xf numFmtId="0" fontId="16" fillId="0" borderId="0" xfId="0" applyFont="1" applyFill="1" applyBorder="1" applyAlignment="1" applyProtection="1">
      <alignment horizontal="center" vertical="center" wrapText="1" shrinkToFit="1"/>
    </xf>
    <xf numFmtId="0" fontId="16" fillId="0" borderId="0" xfId="0" applyFont="1" applyFill="1" applyAlignment="1" applyProtection="1">
      <alignment vertical="center" wrapText="1"/>
    </xf>
    <xf numFmtId="0" fontId="25" fillId="0" borderId="34" xfId="0" applyFont="1" applyFill="1" applyBorder="1" applyAlignment="1" applyProtection="1">
      <alignment horizontal="center" vertical="center"/>
    </xf>
    <xf numFmtId="0" fontId="25" fillId="0" borderId="35" xfId="0" applyFont="1" applyFill="1" applyBorder="1" applyAlignment="1" applyProtection="1">
      <alignment horizontal="center" vertical="center"/>
    </xf>
    <xf numFmtId="0" fontId="27" fillId="0" borderId="35" xfId="0" applyFont="1" applyFill="1" applyBorder="1" applyAlignment="1" applyProtection="1">
      <alignment horizontal="center" vertical="center"/>
    </xf>
    <xf numFmtId="0" fontId="2" fillId="12" borderId="0" xfId="0" applyNumberFormat="1" applyFont="1" applyFill="1" applyAlignment="1">
      <alignment horizontal="left"/>
    </xf>
    <xf numFmtId="0" fontId="25" fillId="0" borderId="0"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xf>
    <xf numFmtId="0" fontId="31" fillId="0" borderId="0" xfId="0" applyNumberFormat="1" applyFont="1" applyFill="1" applyAlignment="1" applyProtection="1">
      <alignment horizontal="left" vertical="center"/>
    </xf>
    <xf numFmtId="0" fontId="27" fillId="0" borderId="0" xfId="0" applyFont="1" applyFill="1" applyBorder="1" applyAlignment="1" applyProtection="1">
      <alignment horizontal="center" vertical="center" shrinkToFit="1"/>
    </xf>
    <xf numFmtId="0" fontId="5" fillId="25" borderId="0" xfId="0" applyFont="1" applyFill="1" applyAlignment="1">
      <alignment horizontal="left"/>
    </xf>
    <xf numFmtId="0" fontId="30" fillId="0" borderId="20" xfId="0" applyFont="1" applyFill="1" applyBorder="1" applyAlignment="1" applyProtection="1">
      <alignment vertical="center"/>
    </xf>
    <xf numFmtId="0" fontId="5" fillId="25" borderId="20" xfId="0" applyFont="1" applyFill="1" applyBorder="1" applyAlignment="1">
      <alignment horizontal="left"/>
    </xf>
    <xf numFmtId="0" fontId="2" fillId="12" borderId="20" xfId="0" applyNumberFormat="1" applyFont="1" applyFill="1" applyBorder="1" applyAlignment="1">
      <alignment horizontal="left"/>
    </xf>
    <xf numFmtId="0" fontId="2" fillId="0" borderId="0" xfId="0" applyFont="1" applyFill="1" applyAlignment="1">
      <alignment horizontal="center"/>
    </xf>
    <xf numFmtId="0" fontId="27" fillId="0" borderId="32" xfId="0" applyFont="1" applyFill="1" applyBorder="1" applyAlignment="1" applyProtection="1">
      <alignment vertical="top" wrapText="1"/>
    </xf>
    <xf numFmtId="1" fontId="27" fillId="0" borderId="1" xfId="0" applyNumberFormat="1" applyFont="1" applyFill="1" applyBorder="1" applyAlignment="1" applyProtection="1">
      <alignment horizontal="center" vertical="center"/>
    </xf>
    <xf numFmtId="0" fontId="52" fillId="0" borderId="0" xfId="0" applyFont="1" applyFill="1" applyProtection="1">
      <protection locked="0"/>
    </xf>
    <xf numFmtId="1" fontId="27" fillId="0" borderId="0" xfId="0" applyNumberFormat="1" applyFont="1" applyFill="1" applyBorder="1" applyAlignment="1" applyProtection="1">
      <alignment horizontal="center" vertical="center"/>
    </xf>
    <xf numFmtId="44" fontId="27" fillId="0" borderId="0" xfId="0" applyNumberFormat="1" applyFont="1" applyFill="1" applyBorder="1" applyAlignment="1" applyProtection="1">
      <alignment horizontal="center" vertical="center"/>
    </xf>
    <xf numFmtId="0" fontId="45" fillId="9" borderId="1" xfId="0" applyNumberFormat="1" applyFont="1" applyFill="1" applyBorder="1" applyAlignment="1" applyProtection="1">
      <alignment horizontal="left" vertical="center"/>
      <protection locked="0"/>
    </xf>
    <xf numFmtId="0" fontId="16" fillId="0" borderId="0" xfId="0" applyFont="1" applyFill="1" applyProtection="1">
      <protection locked="0"/>
    </xf>
    <xf numFmtId="0" fontId="30" fillId="0" borderId="0" xfId="0" applyFont="1" applyFill="1" applyBorder="1" applyAlignment="1" applyProtection="1">
      <alignment horizontal="right" vertical="center" indent="1"/>
    </xf>
    <xf numFmtId="2" fontId="27" fillId="0" borderId="0" xfId="0" applyNumberFormat="1" applyFont="1" applyFill="1" applyBorder="1" applyAlignment="1" applyProtection="1">
      <alignment vertical="center"/>
    </xf>
    <xf numFmtId="0" fontId="29" fillId="0" borderId="0" xfId="0" applyFont="1" applyFill="1" applyBorder="1" applyAlignment="1" applyProtection="1">
      <alignment horizontal="right" vertical="center" indent="1"/>
    </xf>
    <xf numFmtId="0" fontId="66" fillId="0" borderId="0" xfId="0" applyFont="1" applyFill="1" applyBorder="1" applyProtection="1">
      <protection locked="0"/>
    </xf>
    <xf numFmtId="0" fontId="66" fillId="0" borderId="0" xfId="0" applyFont="1" applyFill="1" applyProtection="1">
      <protection locked="0"/>
    </xf>
    <xf numFmtId="0" fontId="45" fillId="26" borderId="1" xfId="0" applyFont="1" applyFill="1" applyBorder="1" applyAlignment="1" applyProtection="1">
      <alignment horizontal="left" vertical="center" indent="1"/>
    </xf>
    <xf numFmtId="0" fontId="67" fillId="12" borderId="1" xfId="0" applyNumberFormat="1" applyFont="1" applyFill="1" applyBorder="1" applyAlignment="1" applyProtection="1">
      <alignment horizontal="left" vertical="center"/>
    </xf>
    <xf numFmtId="0" fontId="68" fillId="0" borderId="0" xfId="0" applyFont="1" applyFill="1" applyBorder="1" applyProtection="1"/>
    <xf numFmtId="0" fontId="25" fillId="0" borderId="0" xfId="0" applyFont="1" applyFill="1" applyAlignment="1" applyProtection="1">
      <alignment vertical="center"/>
    </xf>
    <xf numFmtId="0" fontId="16" fillId="0" borderId="0" xfId="0" applyFont="1" applyFill="1" applyBorder="1" applyAlignment="1" applyProtection="1">
      <alignment horizontal="left" wrapText="1"/>
      <protection hidden="1"/>
    </xf>
    <xf numFmtId="0" fontId="28" fillId="16" borderId="2" xfId="2" applyFont="1" applyFill="1" applyBorder="1" applyAlignment="1" applyProtection="1">
      <alignment horizontal="center" vertical="center" wrapText="1"/>
      <protection hidden="1"/>
    </xf>
    <xf numFmtId="0" fontId="28" fillId="16" borderId="3" xfId="2" applyFont="1" applyFill="1" applyBorder="1" applyAlignment="1" applyProtection="1">
      <alignment horizontal="center" vertical="center" wrapText="1"/>
      <protection hidden="1"/>
    </xf>
    <xf numFmtId="0" fontId="59" fillId="0" borderId="0" xfId="0" applyFont="1" applyFill="1" applyBorder="1" applyAlignment="1" applyProtection="1">
      <alignment horizontal="center"/>
      <protection hidden="1"/>
    </xf>
    <xf numFmtId="1" fontId="27" fillId="0" borderId="4" xfId="0" applyNumberFormat="1" applyFont="1" applyFill="1" applyBorder="1" applyAlignment="1" applyProtection="1">
      <alignment horizontal="center" vertical="center"/>
    </xf>
    <xf numFmtId="1" fontId="27" fillId="0" borderId="6" xfId="0" applyNumberFormat="1" applyFont="1" applyFill="1" applyBorder="1" applyAlignment="1" applyProtection="1">
      <alignment horizontal="center" vertical="center"/>
    </xf>
    <xf numFmtId="2" fontId="27" fillId="0" borderId="4" xfId="0" applyNumberFormat="1" applyFont="1" applyFill="1" applyBorder="1" applyAlignment="1" applyProtection="1">
      <alignment horizontal="center" vertical="center"/>
    </xf>
    <xf numFmtId="2" fontId="27" fillId="0" borderId="6" xfId="0" applyNumberFormat="1" applyFont="1" applyFill="1" applyBorder="1" applyAlignment="1" applyProtection="1">
      <alignment horizontal="center" vertical="center"/>
    </xf>
    <xf numFmtId="2" fontId="29" fillId="0" borderId="1" xfId="0" applyNumberFormat="1" applyFont="1" applyFill="1" applyBorder="1" applyAlignment="1" applyProtection="1">
      <alignment horizontal="center" vertical="center"/>
    </xf>
    <xf numFmtId="0" fontId="31" fillId="0" borderId="36" xfId="0" applyNumberFormat="1" applyFont="1" applyFill="1" applyBorder="1" applyAlignment="1" applyProtection="1">
      <alignment horizontal="left" vertical="center" indent="1"/>
    </xf>
    <xf numFmtId="0" fontId="31" fillId="0" borderId="0" xfId="0" applyNumberFormat="1" applyFont="1" applyFill="1" applyAlignment="1" applyProtection="1">
      <alignment horizontal="left" vertical="center" indent="1"/>
    </xf>
    <xf numFmtId="0" fontId="27" fillId="0" borderId="0" xfId="0" applyFont="1" applyFill="1" applyBorder="1" applyAlignment="1" applyProtection="1">
      <alignment horizontal="left" vertical="center" wrapText="1"/>
    </xf>
    <xf numFmtId="0" fontId="27" fillId="0" borderId="7" xfId="0" applyFont="1" applyFill="1" applyBorder="1" applyAlignment="1" applyProtection="1">
      <alignment horizontal="left" vertical="center" wrapText="1"/>
    </xf>
    <xf numFmtId="0" fontId="30" fillId="14" borderId="4" xfId="0" applyFont="1" applyFill="1" applyBorder="1" applyAlignment="1" applyProtection="1">
      <alignment horizontal="center" vertical="center" wrapText="1"/>
    </xf>
    <xf numFmtId="0" fontId="30" fillId="14" borderId="6" xfId="0" applyFont="1" applyFill="1" applyBorder="1" applyAlignment="1" applyProtection="1">
      <alignment horizontal="center" vertical="center" wrapText="1"/>
    </xf>
    <xf numFmtId="0" fontId="30" fillId="14" borderId="4" xfId="0" applyFont="1" applyFill="1" applyBorder="1" applyAlignment="1" applyProtection="1">
      <alignment horizontal="left" vertical="center" indent="1"/>
    </xf>
    <xf numFmtId="0" fontId="30" fillId="14" borderId="5" xfId="0" applyFont="1" applyFill="1" applyBorder="1" applyAlignment="1" applyProtection="1">
      <alignment horizontal="left" vertical="center" indent="1"/>
    </xf>
    <xf numFmtId="0" fontId="30" fillId="14" borderId="6" xfId="0" applyFont="1" applyFill="1" applyBorder="1" applyAlignment="1" applyProtection="1">
      <alignment horizontal="left" vertical="center" indent="1"/>
    </xf>
    <xf numFmtId="0" fontId="27" fillId="0" borderId="4" xfId="0" applyFont="1" applyFill="1" applyBorder="1" applyAlignment="1" applyProtection="1">
      <alignment horizontal="left" vertical="center" indent="1"/>
    </xf>
    <xf numFmtId="0" fontId="27" fillId="0" borderId="5" xfId="0" applyFont="1" applyFill="1" applyBorder="1" applyAlignment="1" applyProtection="1">
      <alignment horizontal="left" vertical="center" indent="1"/>
    </xf>
    <xf numFmtId="0" fontId="27" fillId="0" borderId="6" xfId="0" applyFont="1" applyFill="1" applyBorder="1" applyAlignment="1" applyProtection="1">
      <alignment horizontal="left" vertical="center" indent="1"/>
    </xf>
    <xf numFmtId="0" fontId="27" fillId="0" borderId="1" xfId="0" applyFont="1" applyFill="1" applyBorder="1" applyAlignment="1" applyProtection="1">
      <alignment horizontal="left" vertical="center" indent="1"/>
    </xf>
    <xf numFmtId="0" fontId="27" fillId="2" borderId="4" xfId="0" applyFont="1" applyFill="1" applyBorder="1" applyAlignment="1" applyProtection="1">
      <alignment horizontal="left" vertical="center" indent="1"/>
      <protection locked="0"/>
    </xf>
    <xf numFmtId="0" fontId="16" fillId="2" borderId="5" xfId="0" applyFont="1" applyFill="1" applyBorder="1" applyAlignment="1" applyProtection="1">
      <alignment horizontal="left" vertical="center" indent="1"/>
      <protection locked="0"/>
    </xf>
    <xf numFmtId="0" fontId="16" fillId="2" borderId="6" xfId="0" applyFont="1" applyFill="1" applyBorder="1" applyAlignment="1" applyProtection="1">
      <alignment horizontal="left" vertical="center" indent="1"/>
      <protection locked="0"/>
    </xf>
    <xf numFmtId="0" fontId="13" fillId="0" borderId="0" xfId="0" applyFont="1" applyFill="1" applyBorder="1" applyAlignment="1" applyProtection="1">
      <alignment horizontal="left" vertical="top" wrapText="1"/>
    </xf>
    <xf numFmtId="0" fontId="30" fillId="14" borderId="5" xfId="0" applyFont="1" applyFill="1" applyBorder="1" applyAlignment="1" applyProtection="1">
      <alignment horizontal="center" vertical="center"/>
    </xf>
    <xf numFmtId="0" fontId="33" fillId="14" borderId="5" xfId="0" applyFont="1" applyFill="1" applyBorder="1" applyAlignment="1" applyProtection="1">
      <alignment horizontal="center" vertical="center"/>
    </xf>
    <xf numFmtId="0" fontId="33" fillId="14" borderId="6" xfId="0" applyFont="1" applyFill="1" applyBorder="1" applyAlignment="1" applyProtection="1">
      <alignment horizontal="center" vertical="center"/>
    </xf>
    <xf numFmtId="0" fontId="31" fillId="14" borderId="1" xfId="0" applyFont="1" applyFill="1" applyBorder="1" applyAlignment="1" applyProtection="1">
      <alignment horizontal="left" vertical="center" indent="3"/>
    </xf>
    <xf numFmtId="0" fontId="30" fillId="14" borderId="1" xfId="0" applyFont="1" applyFill="1" applyBorder="1" applyAlignment="1" applyProtection="1">
      <alignment horizontal="left" vertical="center" indent="3"/>
    </xf>
    <xf numFmtId="0" fontId="27" fillId="0" borderId="1" xfId="0" applyFont="1" applyFill="1" applyBorder="1" applyAlignment="1" applyProtection="1">
      <alignment horizontal="center" vertical="center"/>
    </xf>
    <xf numFmtId="0" fontId="16" fillId="0" borderId="1" xfId="0" applyFont="1" applyFill="1" applyBorder="1" applyAlignment="1" applyProtection="1">
      <alignment horizontal="center" vertical="center"/>
    </xf>
    <xf numFmtId="3" fontId="13" fillId="2" borderId="5" xfId="0" applyNumberFormat="1" applyFont="1" applyFill="1" applyBorder="1" applyAlignment="1" applyProtection="1">
      <alignment horizontal="center" vertical="center"/>
      <protection locked="0"/>
    </xf>
    <xf numFmtId="3" fontId="23" fillId="2" borderId="5" xfId="0" applyNumberFormat="1" applyFont="1" applyFill="1" applyBorder="1" applyAlignment="1" applyProtection="1">
      <alignment horizontal="center" vertical="center"/>
      <protection locked="0"/>
    </xf>
    <xf numFmtId="9" fontId="37" fillId="2" borderId="4" xfId="0" applyNumberFormat="1" applyFont="1" applyFill="1" applyBorder="1" applyAlignment="1" applyProtection="1">
      <alignment horizontal="center" vertical="center"/>
      <protection locked="0"/>
    </xf>
    <xf numFmtId="9" fontId="13" fillId="2" borderId="5" xfId="0" applyNumberFormat="1" applyFont="1" applyFill="1" applyBorder="1" applyAlignment="1" applyProtection="1">
      <alignment horizontal="center" vertical="center"/>
      <protection locked="0"/>
    </xf>
    <xf numFmtId="9" fontId="13" fillId="2" borderId="6" xfId="0" applyNumberFormat="1" applyFont="1" applyFill="1" applyBorder="1" applyAlignment="1" applyProtection="1">
      <alignment horizontal="center" vertical="center"/>
      <protection locked="0"/>
    </xf>
    <xf numFmtId="3" fontId="27" fillId="2" borderId="4" xfId="0" applyNumberFormat="1" applyFont="1" applyFill="1" applyBorder="1" applyAlignment="1" applyProtection="1">
      <alignment horizontal="center" vertical="center"/>
      <protection locked="0"/>
    </xf>
    <xf numFmtId="3" fontId="16" fillId="2" borderId="5" xfId="0" applyNumberFormat="1" applyFont="1" applyFill="1" applyBorder="1" applyAlignment="1" applyProtection="1">
      <alignment horizontal="center" vertical="center"/>
      <protection locked="0"/>
    </xf>
    <xf numFmtId="3" fontId="16" fillId="2" borderId="6" xfId="0" applyNumberFormat="1" applyFont="1" applyFill="1" applyBorder="1" applyAlignment="1" applyProtection="1">
      <alignment horizontal="center" vertical="center"/>
      <protection locked="0"/>
    </xf>
    <xf numFmtId="0" fontId="27" fillId="0" borderId="4" xfId="0" applyFont="1" applyFill="1" applyBorder="1" applyAlignment="1" applyProtection="1">
      <alignment horizontal="center" vertical="center"/>
    </xf>
    <xf numFmtId="0" fontId="16" fillId="0" borderId="6" xfId="0" applyFont="1" applyFill="1" applyBorder="1" applyAlignment="1" applyProtection="1">
      <alignment horizontal="center" vertical="center"/>
    </xf>
    <xf numFmtId="3" fontId="13" fillId="2" borderId="4"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0" fontId="27" fillId="2" borderId="4" xfId="0" applyFont="1" applyFill="1" applyBorder="1" applyAlignment="1" applyProtection="1">
      <alignment horizontal="left" vertical="center" wrapText="1" indent="1"/>
      <protection locked="0"/>
    </xf>
    <xf numFmtId="0" fontId="27" fillId="2" borderId="5" xfId="0" applyFont="1" applyFill="1" applyBorder="1" applyAlignment="1" applyProtection="1">
      <alignment horizontal="left" vertical="center" wrapText="1" indent="1"/>
      <protection locked="0"/>
    </xf>
    <xf numFmtId="0" fontId="27" fillId="2" borderId="6" xfId="0" applyFont="1" applyFill="1" applyBorder="1" applyAlignment="1" applyProtection="1">
      <alignment horizontal="left" vertical="center" wrapText="1" indent="1"/>
      <protection locked="0"/>
    </xf>
    <xf numFmtId="0" fontId="25" fillId="13" borderId="4" xfId="0" applyFont="1" applyFill="1" applyBorder="1" applyAlignment="1" applyProtection="1">
      <alignment horizontal="left" vertical="center"/>
    </xf>
    <xf numFmtId="0" fontId="25" fillId="13" borderId="5" xfId="0" applyFont="1" applyFill="1" applyBorder="1" applyAlignment="1" applyProtection="1">
      <alignment horizontal="left" vertical="center"/>
    </xf>
    <xf numFmtId="0" fontId="25" fillId="13" borderId="6" xfId="0" applyFont="1" applyFill="1" applyBorder="1" applyAlignment="1" applyProtection="1">
      <alignment horizontal="left" vertical="center"/>
    </xf>
    <xf numFmtId="0" fontId="27" fillId="0" borderId="21" xfId="0" applyFont="1" applyFill="1" applyBorder="1" applyAlignment="1" applyProtection="1">
      <alignment horizontal="left" vertical="center" wrapText="1"/>
    </xf>
    <xf numFmtId="0" fontId="16" fillId="0" borderId="21" xfId="0" applyFont="1" applyFill="1" applyBorder="1" applyAlignment="1" applyProtection="1">
      <alignment horizontal="left" vertical="center" wrapText="1"/>
    </xf>
    <xf numFmtId="0" fontId="16" fillId="0" borderId="0" xfId="0" applyFont="1" applyFill="1" applyAlignment="1" applyProtection="1">
      <alignment horizontal="left" vertical="center" wrapText="1"/>
    </xf>
    <xf numFmtId="0" fontId="27" fillId="0" borderId="0" xfId="0" applyFont="1" applyFill="1" applyAlignment="1" applyProtection="1">
      <alignment horizontal="left" vertical="center" wrapText="1"/>
    </xf>
    <xf numFmtId="0" fontId="37" fillId="2" borderId="16" xfId="0" applyFont="1" applyFill="1" applyBorder="1" applyAlignment="1" applyProtection="1">
      <alignment horizontal="left" vertical="top" wrapText="1"/>
      <protection locked="0"/>
    </xf>
    <xf numFmtId="0" fontId="13" fillId="2" borderId="11" xfId="0" applyFont="1" applyFill="1" applyBorder="1" applyAlignment="1" applyProtection="1">
      <alignment horizontal="left" vertical="top" wrapText="1"/>
      <protection locked="0"/>
    </xf>
    <xf numFmtId="0" fontId="13" fillId="2" borderId="14" xfId="0" applyFont="1" applyFill="1" applyBorder="1" applyAlignment="1" applyProtection="1">
      <alignment horizontal="left" vertical="top" wrapText="1"/>
      <protection locked="0"/>
    </xf>
    <xf numFmtId="0" fontId="13" fillId="2" borderId="27" xfId="0" applyFont="1" applyFill="1" applyBorder="1" applyAlignment="1" applyProtection="1">
      <alignment horizontal="left" vertical="top" wrapText="1"/>
      <protection locked="0"/>
    </xf>
    <xf numFmtId="0" fontId="13" fillId="2" borderId="0" xfId="0" applyFont="1" applyFill="1" applyBorder="1" applyAlignment="1" applyProtection="1">
      <alignment horizontal="left" vertical="top" wrapText="1"/>
      <protection locked="0"/>
    </xf>
    <xf numFmtId="0" fontId="13" fillId="2" borderId="28" xfId="0" applyFont="1" applyFill="1" applyBorder="1" applyAlignment="1" applyProtection="1">
      <alignment horizontal="left" vertical="top" wrapText="1"/>
      <protection locked="0"/>
    </xf>
    <xf numFmtId="0" fontId="13" fillId="2" borderId="17" xfId="0"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8" xfId="0" applyFont="1" applyFill="1" applyBorder="1" applyAlignment="1" applyProtection="1">
      <alignment horizontal="left" vertical="top" wrapText="1"/>
      <protection locked="0"/>
    </xf>
    <xf numFmtId="0" fontId="32" fillId="0" borderId="0" xfId="0" applyFont="1" applyFill="1" applyAlignment="1" applyProtection="1">
      <alignment horizontal="left" vertical="center" wrapText="1"/>
    </xf>
    <xf numFmtId="0" fontId="25" fillId="0" borderId="0" xfId="0" applyFont="1" applyFill="1" applyAlignment="1" applyProtection="1">
      <alignment horizontal="left" vertical="center" wrapText="1"/>
    </xf>
    <xf numFmtId="0" fontId="30" fillId="18" borderId="1" xfId="0" applyFont="1" applyFill="1" applyBorder="1" applyAlignment="1" applyProtection="1">
      <alignment horizontal="center" vertical="center"/>
    </xf>
    <xf numFmtId="0" fontId="33" fillId="18" borderId="1" xfId="0" applyFont="1" applyFill="1" applyBorder="1" applyAlignment="1" applyProtection="1">
      <alignment horizontal="center" vertical="center"/>
    </xf>
    <xf numFmtId="3" fontId="27" fillId="2" borderId="1" xfId="0" applyNumberFormat="1" applyFont="1" applyFill="1" applyBorder="1" applyAlignment="1" applyProtection="1">
      <alignment horizontal="center" vertical="center"/>
      <protection locked="0"/>
    </xf>
    <xf numFmtId="3" fontId="16" fillId="2" borderId="1" xfId="0" applyNumberFormat="1" applyFont="1" applyFill="1" applyBorder="1" applyAlignment="1" applyProtection="1">
      <alignment horizontal="center" vertical="center"/>
      <protection locked="0"/>
    </xf>
    <xf numFmtId="0" fontId="31" fillId="13" borderId="1" xfId="0" applyFont="1" applyFill="1" applyBorder="1" applyAlignment="1" applyProtection="1">
      <alignment horizontal="center" vertical="center"/>
    </xf>
    <xf numFmtId="0" fontId="30" fillId="13" borderId="1" xfId="0" applyFont="1" applyFill="1" applyBorder="1" applyAlignment="1" applyProtection="1">
      <alignment horizontal="center" vertical="center"/>
    </xf>
    <xf numFmtId="0" fontId="31" fillId="13" borderId="11" xfId="0" applyFont="1" applyFill="1" applyBorder="1" applyAlignment="1" applyProtection="1">
      <alignment horizontal="center" vertical="center"/>
    </xf>
    <xf numFmtId="0" fontId="30" fillId="13" borderId="11" xfId="0" applyFont="1" applyFill="1" applyBorder="1" applyAlignment="1" applyProtection="1">
      <alignment horizontal="center" vertical="center"/>
    </xf>
    <xf numFmtId="0" fontId="30" fillId="13" borderId="14" xfId="0" applyFont="1" applyFill="1" applyBorder="1" applyAlignment="1" applyProtection="1">
      <alignment horizontal="center" vertical="center"/>
    </xf>
    <xf numFmtId="169" fontId="27" fillId="2" borderId="4" xfId="0" applyNumberFormat="1" applyFont="1" applyFill="1" applyBorder="1" applyAlignment="1" applyProtection="1">
      <alignment horizontal="center" vertical="center"/>
      <protection locked="0"/>
    </xf>
    <xf numFmtId="169" fontId="16" fillId="2" borderId="5" xfId="0" applyNumberFormat="1" applyFont="1" applyFill="1" applyBorder="1" applyAlignment="1" applyProtection="1">
      <alignment horizontal="center" vertical="center"/>
      <protection locked="0"/>
    </xf>
    <xf numFmtId="0" fontId="31" fillId="0" borderId="11" xfId="0" applyFont="1" applyFill="1" applyBorder="1" applyAlignment="1" applyProtection="1">
      <alignment horizontal="center" vertical="center"/>
    </xf>
    <xf numFmtId="0" fontId="30" fillId="0" borderId="11" xfId="0" applyFont="1" applyFill="1" applyBorder="1" applyAlignment="1" applyProtection="1">
      <alignment horizontal="center" vertical="center"/>
    </xf>
    <xf numFmtId="169" fontId="31" fillId="0" borderId="4" xfId="0" applyNumberFormat="1" applyFont="1" applyFill="1" applyBorder="1" applyAlignment="1" applyProtection="1">
      <alignment horizontal="center" vertical="center"/>
    </xf>
    <xf numFmtId="169" fontId="30" fillId="0" borderId="5" xfId="0" applyNumberFormat="1" applyFont="1" applyFill="1" applyBorder="1" applyAlignment="1" applyProtection="1">
      <alignment horizontal="center" vertical="center"/>
    </xf>
    <xf numFmtId="0" fontId="25" fillId="2" borderId="16" xfId="0" applyFont="1" applyFill="1" applyBorder="1" applyAlignment="1" applyProtection="1">
      <alignment horizontal="left" vertical="center"/>
      <protection locked="0"/>
    </xf>
    <xf numFmtId="0" fontId="25" fillId="2" borderId="11" xfId="0" applyFont="1" applyFill="1" applyBorder="1" applyAlignment="1" applyProtection="1">
      <alignment horizontal="left" vertical="center"/>
      <protection locked="0"/>
    </xf>
    <xf numFmtId="169" fontId="25" fillId="2" borderId="4" xfId="3" applyNumberFormat="1" applyFont="1" applyFill="1" applyBorder="1" applyAlignment="1" applyProtection="1">
      <alignment horizontal="center" vertical="center"/>
      <protection locked="0"/>
    </xf>
    <xf numFmtId="169" fontId="27" fillId="2" borderId="5" xfId="3" applyNumberFormat="1" applyFont="1" applyFill="1" applyBorder="1" applyAlignment="1" applyProtection="1">
      <alignment horizontal="center" vertical="center"/>
      <protection locked="0"/>
    </xf>
    <xf numFmtId="3" fontId="13" fillId="7" borderId="4" xfId="0" applyNumberFormat="1" applyFont="1" applyFill="1" applyBorder="1" applyAlignment="1" applyProtection="1">
      <alignment horizontal="center" vertical="center"/>
    </xf>
    <xf numFmtId="3" fontId="23" fillId="7" borderId="5" xfId="0" applyNumberFormat="1" applyFont="1" applyFill="1" applyBorder="1" applyAlignment="1" applyProtection="1">
      <alignment horizontal="center" vertical="center"/>
    </xf>
    <xf numFmtId="14" fontId="27" fillId="2" borderId="4" xfId="1" applyNumberFormat="1" applyFont="1" applyFill="1" applyBorder="1" applyAlignment="1" applyProtection="1">
      <alignment horizontal="center" vertical="center"/>
      <protection locked="0"/>
    </xf>
    <xf numFmtId="14" fontId="16" fillId="2" borderId="5" xfId="1" applyNumberFormat="1" applyFont="1" applyFill="1" applyBorder="1" applyAlignment="1" applyProtection="1">
      <alignment horizontal="center" vertical="center"/>
      <protection locked="0"/>
    </xf>
    <xf numFmtId="14" fontId="16" fillId="2" borderId="6" xfId="1" applyNumberFormat="1" applyFont="1" applyFill="1" applyBorder="1" applyAlignment="1" applyProtection="1">
      <alignment horizontal="center" vertical="center"/>
      <protection locked="0"/>
    </xf>
    <xf numFmtId="0" fontId="25" fillId="0" borderId="21" xfId="0" applyFont="1" applyFill="1" applyBorder="1" applyAlignment="1" applyProtection="1">
      <alignment horizontal="center" vertical="center"/>
    </xf>
    <xf numFmtId="0" fontId="27" fillId="0" borderId="21" xfId="0" applyFont="1" applyFill="1" applyBorder="1" applyAlignment="1" applyProtection="1">
      <alignment horizontal="center" vertical="center"/>
    </xf>
    <xf numFmtId="0" fontId="25" fillId="0" borderId="11"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wrapText="1" shrinkToFit="1"/>
    </xf>
    <xf numFmtId="0" fontId="44" fillId="0" borderId="11" xfId="0" applyFont="1" applyFill="1" applyBorder="1" applyAlignment="1" applyProtection="1">
      <alignment horizontal="center" vertical="center" shrinkToFit="1"/>
    </xf>
    <xf numFmtId="0" fontId="26" fillId="0" borderId="1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16" fillId="0" borderId="11" xfId="0" applyFont="1" applyFill="1" applyBorder="1" applyAlignment="1" applyProtection="1">
      <alignment horizontal="center" vertical="center" shrinkToFit="1"/>
    </xf>
    <xf numFmtId="0" fontId="27" fillId="0" borderId="21" xfId="0" applyFont="1" applyFill="1" applyBorder="1" applyAlignment="1" applyProtection="1">
      <alignment horizontal="left" wrapText="1"/>
    </xf>
    <xf numFmtId="0" fontId="16" fillId="0" borderId="21" xfId="0" applyFont="1" applyFill="1" applyBorder="1" applyAlignment="1" applyProtection="1">
      <alignment horizontal="left" wrapText="1"/>
    </xf>
    <xf numFmtId="0" fontId="16" fillId="0" borderId="0" xfId="0" applyFont="1" applyFill="1" applyBorder="1" applyAlignment="1" applyProtection="1">
      <alignment horizontal="left" wrapText="1"/>
    </xf>
    <xf numFmtId="3" fontId="27" fillId="7" borderId="1" xfId="0" applyNumberFormat="1" applyFont="1" applyFill="1" applyBorder="1" applyAlignment="1" applyProtection="1">
      <alignment horizontal="center" vertical="center"/>
    </xf>
    <xf numFmtId="3" fontId="16" fillId="7" borderId="1" xfId="0" applyNumberFormat="1" applyFont="1" applyFill="1" applyBorder="1" applyAlignment="1" applyProtection="1">
      <alignment horizontal="center" vertical="center"/>
    </xf>
    <xf numFmtId="0" fontId="27" fillId="0" borderId="11" xfId="0" applyFont="1" applyFill="1" applyBorder="1" applyAlignment="1" applyProtection="1">
      <alignment horizontal="center" vertical="center" wrapText="1" shrinkToFit="1"/>
    </xf>
    <xf numFmtId="0" fontId="16" fillId="0" borderId="11" xfId="0" applyFont="1" applyFill="1" applyBorder="1" applyAlignment="1" applyProtection="1">
      <alignment horizontal="center" vertical="center" wrapText="1" shrinkToFit="1"/>
    </xf>
    <xf numFmtId="0" fontId="27" fillId="0" borderId="0" xfId="0" applyFont="1" applyFill="1" applyAlignment="1" applyProtection="1">
      <alignment horizontal="left" vertical="center" indent="2"/>
    </xf>
    <xf numFmtId="0" fontId="27" fillId="0" borderId="0" xfId="0" applyFont="1" applyFill="1" applyAlignment="1" applyProtection="1">
      <alignment horizontal="left" vertical="center" wrapText="1" indent="4"/>
    </xf>
    <xf numFmtId="0" fontId="27" fillId="0" borderId="0" xfId="0" applyFont="1" applyFill="1" applyAlignment="1" applyProtection="1">
      <alignment horizontal="left" vertical="top" wrapText="1" indent="2"/>
    </xf>
    <xf numFmtId="0" fontId="32" fillId="0" borderId="16" xfId="0" applyFont="1" applyFill="1" applyBorder="1" applyAlignment="1" applyProtection="1">
      <alignment horizontal="left" vertical="center" wrapText="1" indent="3"/>
    </xf>
    <xf numFmtId="0" fontId="32" fillId="0" borderId="11" xfId="0" applyFont="1" applyFill="1" applyBorder="1" applyAlignment="1" applyProtection="1">
      <alignment horizontal="left" vertical="center" wrapText="1" indent="3"/>
    </xf>
    <xf numFmtId="0" fontId="32" fillId="0" borderId="14" xfId="0" applyFont="1" applyFill="1" applyBorder="1" applyAlignment="1" applyProtection="1">
      <alignment horizontal="left" vertical="center" wrapText="1" indent="3"/>
    </xf>
    <xf numFmtId="0" fontId="32" fillId="0" borderId="27" xfId="0" applyFont="1" applyFill="1" applyBorder="1" applyAlignment="1" applyProtection="1">
      <alignment horizontal="left" vertical="center" wrapText="1" indent="3"/>
    </xf>
    <xf numFmtId="0" fontId="32" fillId="0" borderId="0" xfId="0" applyFont="1" applyFill="1" applyBorder="1" applyAlignment="1" applyProtection="1">
      <alignment horizontal="left" vertical="center" wrapText="1" indent="3"/>
    </xf>
    <xf numFmtId="0" fontId="32" fillId="0" borderId="28" xfId="0" applyFont="1" applyFill="1" applyBorder="1" applyAlignment="1" applyProtection="1">
      <alignment horizontal="left" vertical="center" wrapText="1" indent="3"/>
    </xf>
    <xf numFmtId="0" fontId="32" fillId="0" borderId="17" xfId="0" applyFont="1" applyFill="1" applyBorder="1" applyAlignment="1" applyProtection="1">
      <alignment horizontal="left" vertical="center" wrapText="1" indent="3"/>
    </xf>
    <xf numFmtId="0" fontId="32" fillId="0" borderId="7" xfId="0" applyFont="1" applyFill="1" applyBorder="1" applyAlignment="1" applyProtection="1">
      <alignment horizontal="left" vertical="center" wrapText="1" indent="3"/>
    </xf>
    <xf numFmtId="0" fontId="32" fillId="0" borderId="18" xfId="0" applyFont="1" applyFill="1" applyBorder="1" applyAlignment="1" applyProtection="1">
      <alignment horizontal="left" vertical="center" wrapText="1" indent="3"/>
    </xf>
    <xf numFmtId="0" fontId="27" fillId="0" borderId="0" xfId="0" applyFont="1" applyFill="1" applyAlignment="1" applyProtection="1">
      <alignment horizontal="left" vertical="top" wrapText="1"/>
    </xf>
    <xf numFmtId="0" fontId="25" fillId="0" borderId="0" xfId="0" applyFont="1" applyFill="1" applyAlignment="1" applyProtection="1">
      <alignment horizontal="left" vertical="top" wrapText="1" indent="2"/>
    </xf>
    <xf numFmtId="0" fontId="30" fillId="14" borderId="1" xfId="0" applyFont="1" applyFill="1" applyBorder="1" applyAlignment="1" applyProtection="1">
      <alignment horizontal="left" vertical="center" indent="1"/>
    </xf>
    <xf numFmtId="0" fontId="33" fillId="14" borderId="1" xfId="0" applyFont="1" applyFill="1" applyBorder="1" applyAlignment="1" applyProtection="1">
      <alignment horizontal="left" vertical="center" indent="1"/>
    </xf>
    <xf numFmtId="0" fontId="30" fillId="14" borderId="1" xfId="0" applyFont="1" applyFill="1" applyBorder="1" applyAlignment="1" applyProtection="1">
      <alignment horizontal="center" vertical="center"/>
    </xf>
    <xf numFmtId="0" fontId="33" fillId="14" borderId="1" xfId="0" applyFont="1" applyFill="1" applyBorder="1" applyAlignment="1" applyProtection="1">
      <alignment horizontal="center" vertical="center"/>
    </xf>
    <xf numFmtId="0" fontId="16" fillId="0" borderId="1" xfId="0" applyFont="1" applyFill="1" applyBorder="1" applyAlignment="1" applyProtection="1">
      <alignment horizontal="left" vertical="center" indent="1"/>
    </xf>
    <xf numFmtId="42" fontId="27" fillId="2" borderId="4" xfId="1" applyNumberFormat="1" applyFont="1" applyFill="1" applyBorder="1" applyAlignment="1" applyProtection="1">
      <alignment horizontal="center" vertical="center"/>
      <protection locked="0"/>
    </xf>
    <xf numFmtId="42" fontId="16" fillId="2" borderId="5" xfId="1" applyNumberFormat="1" applyFont="1" applyFill="1" applyBorder="1" applyAlignment="1" applyProtection="1">
      <alignment horizontal="center" vertical="center"/>
      <protection locked="0"/>
    </xf>
    <xf numFmtId="42" fontId="16" fillId="2" borderId="6" xfId="1" applyNumberFormat="1" applyFont="1" applyFill="1" applyBorder="1" applyAlignment="1" applyProtection="1">
      <alignment horizontal="center" vertical="center"/>
      <protection locked="0"/>
    </xf>
    <xf numFmtId="0" fontId="32" fillId="0" borderId="0" xfId="0" applyFont="1" applyFill="1" applyAlignment="1" applyProtection="1">
      <alignment horizontal="left" vertical="top" wrapText="1"/>
    </xf>
    <xf numFmtId="0" fontId="25" fillId="0" borderId="0" xfId="0" applyFont="1" applyFill="1" applyAlignment="1" applyProtection="1">
      <alignment horizontal="left" vertical="top" wrapText="1"/>
    </xf>
    <xf numFmtId="0" fontId="25" fillId="13" borderId="1" xfId="0" applyFont="1" applyFill="1" applyBorder="1" applyAlignment="1" applyProtection="1">
      <alignment horizontal="center" vertical="center"/>
    </xf>
    <xf numFmtId="0" fontId="27" fillId="13" borderId="1" xfId="0" applyFont="1" applyFill="1" applyBorder="1" applyAlignment="1" applyProtection="1">
      <alignment horizontal="center" vertical="center"/>
    </xf>
    <xf numFmtId="0" fontId="27" fillId="0" borderId="0" xfId="0" applyNumberFormat="1" applyFont="1" applyFill="1" applyAlignment="1">
      <alignment horizontal="left" vertical="top" wrapText="1"/>
    </xf>
    <xf numFmtId="10" fontId="27" fillId="14" borderId="4" xfId="3" applyNumberFormat="1" applyFont="1" applyFill="1" applyBorder="1" applyAlignment="1" applyProtection="1">
      <alignment horizontal="center" vertical="center"/>
    </xf>
    <xf numFmtId="10" fontId="16" fillId="14" borderId="5" xfId="3" applyNumberFormat="1" applyFont="1" applyFill="1" applyBorder="1" applyAlignment="1" applyProtection="1">
      <alignment horizontal="center" vertical="center"/>
    </xf>
    <xf numFmtId="10" fontId="16" fillId="14" borderId="6" xfId="3" applyNumberFormat="1" applyFont="1" applyFill="1" applyBorder="1" applyAlignment="1" applyProtection="1">
      <alignment horizontal="center" vertical="center"/>
    </xf>
    <xf numFmtId="0" fontId="25" fillId="2" borderId="4" xfId="0" applyFont="1" applyFill="1" applyBorder="1" applyAlignment="1" applyProtection="1">
      <alignment horizontal="left" vertical="center" indent="1" shrinkToFit="1"/>
      <protection locked="0"/>
    </xf>
    <xf numFmtId="0" fontId="25" fillId="2" borderId="5" xfId="0" applyFont="1" applyFill="1" applyBorder="1" applyAlignment="1" applyProtection="1">
      <alignment horizontal="left" vertical="center" indent="1" shrinkToFit="1"/>
      <protection locked="0"/>
    </xf>
    <xf numFmtId="0" fontId="25" fillId="2" borderId="16" xfId="0" applyFont="1" applyFill="1" applyBorder="1" applyAlignment="1" applyProtection="1">
      <alignment horizontal="left" vertical="center" indent="1" shrinkToFit="1"/>
      <protection locked="0"/>
    </xf>
    <xf numFmtId="0" fontId="25" fillId="2" borderId="11" xfId="0" applyFont="1" applyFill="1" applyBorder="1" applyAlignment="1" applyProtection="1">
      <alignment horizontal="left" vertical="center" indent="1" shrinkToFit="1"/>
      <protection locked="0"/>
    </xf>
    <xf numFmtId="0" fontId="30" fillId="19" borderId="1" xfId="0" applyFont="1" applyFill="1" applyBorder="1" applyAlignment="1" applyProtection="1">
      <alignment horizontal="center" vertical="center"/>
    </xf>
    <xf numFmtId="0" fontId="33" fillId="19" borderId="1" xfId="0" applyFont="1" applyFill="1" applyBorder="1" applyAlignment="1" applyProtection="1">
      <alignment horizontal="center" vertical="center"/>
    </xf>
    <xf numFmtId="3" fontId="13" fillId="2" borderId="7" xfId="0" applyNumberFormat="1" applyFont="1" applyFill="1" applyBorder="1" applyAlignment="1" applyProtection="1">
      <alignment horizontal="center" vertical="center"/>
      <protection locked="0"/>
    </xf>
    <xf numFmtId="3" fontId="23" fillId="2" borderId="7" xfId="0" applyNumberFormat="1" applyFont="1" applyFill="1" applyBorder="1" applyAlignment="1" applyProtection="1">
      <alignment horizontal="center" vertical="center"/>
      <protection locked="0"/>
    </xf>
    <xf numFmtId="0" fontId="31" fillId="14" borderId="4"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1" fillId="14" borderId="6" xfId="0" applyFont="1" applyFill="1" applyBorder="1" applyAlignment="1" applyProtection="1">
      <alignment horizontal="center" vertical="center"/>
    </xf>
    <xf numFmtId="0" fontId="37" fillId="2" borderId="1" xfId="0" applyFont="1" applyFill="1" applyBorder="1" applyAlignment="1" applyProtection="1">
      <alignment horizontal="left" vertical="top" wrapText="1"/>
      <protection locked="0"/>
    </xf>
    <xf numFmtId="0" fontId="37" fillId="2" borderId="1" xfId="0" applyFont="1" applyFill="1" applyBorder="1" applyAlignment="1" applyProtection="1">
      <alignment horizontal="center" vertical="top" wrapText="1"/>
      <protection locked="0"/>
    </xf>
    <xf numFmtId="0" fontId="25" fillId="0" borderId="11" xfId="0" applyFont="1" applyFill="1" applyBorder="1" applyAlignment="1" applyProtection="1">
      <alignment horizontal="center" vertical="center" wrapText="1" shrinkToFit="1"/>
    </xf>
    <xf numFmtId="0" fontId="27" fillId="0" borderId="0" xfId="0" applyFont="1" applyFill="1" applyBorder="1" applyAlignment="1" applyProtection="1">
      <alignment horizontal="center" vertical="center" wrapText="1" shrinkToFit="1"/>
    </xf>
    <xf numFmtId="42" fontId="27" fillId="2" borderId="1" xfId="1" applyNumberFormat="1" applyFont="1" applyFill="1" applyBorder="1" applyAlignment="1" applyProtection="1">
      <alignment horizontal="center" vertical="center"/>
      <protection locked="0"/>
    </xf>
    <xf numFmtId="42" fontId="16" fillId="2" borderId="1" xfId="1" applyNumberFormat="1" applyFont="1" applyFill="1" applyBorder="1" applyAlignment="1" applyProtection="1">
      <alignment horizontal="center" vertical="center"/>
      <protection locked="0"/>
    </xf>
    <xf numFmtId="0" fontId="27" fillId="0" borderId="11" xfId="0" applyFont="1" applyBorder="1" applyAlignment="1" applyProtection="1">
      <alignment horizontal="left" vertical="top" wrapText="1"/>
      <protection locked="0"/>
    </xf>
    <xf numFmtId="0" fontId="27" fillId="0" borderId="14" xfId="0" applyFont="1" applyBorder="1" applyAlignment="1" applyProtection="1">
      <alignment horizontal="left" vertical="top" wrapText="1"/>
      <protection locked="0"/>
    </xf>
    <xf numFmtId="0" fontId="27" fillId="0" borderId="27" xfId="0" applyFont="1" applyBorder="1" applyAlignment="1" applyProtection="1">
      <alignment horizontal="left" vertical="top" wrapText="1"/>
      <protection locked="0"/>
    </xf>
    <xf numFmtId="0" fontId="27" fillId="0" borderId="0" xfId="0" applyFont="1" applyAlignment="1" applyProtection="1">
      <alignment horizontal="left" vertical="top" wrapText="1"/>
      <protection locked="0"/>
    </xf>
    <xf numFmtId="0" fontId="27" fillId="0" borderId="28" xfId="0" applyFont="1" applyBorder="1" applyAlignment="1" applyProtection="1">
      <alignment horizontal="left" vertical="top" wrapText="1"/>
      <protection locked="0"/>
    </xf>
    <xf numFmtId="0" fontId="27" fillId="0" borderId="17" xfId="0" applyFont="1" applyBorder="1" applyAlignment="1" applyProtection="1">
      <alignment horizontal="left" vertical="top" wrapText="1"/>
      <protection locked="0"/>
    </xf>
    <xf numFmtId="0" fontId="27" fillId="0" borderId="7" xfId="0" applyFont="1" applyBorder="1" applyAlignment="1" applyProtection="1">
      <alignment horizontal="left" vertical="top" wrapText="1"/>
      <protection locked="0"/>
    </xf>
    <xf numFmtId="0" fontId="27" fillId="0" borderId="18" xfId="0" applyFont="1" applyBorder="1" applyAlignment="1" applyProtection="1">
      <alignment horizontal="left" vertical="top" wrapText="1"/>
      <protection locked="0"/>
    </xf>
    <xf numFmtId="0" fontId="45" fillId="0" borderId="0" xfId="0" applyFont="1" applyFill="1" applyAlignment="1" applyProtection="1">
      <alignment horizontal="left" vertical="center"/>
    </xf>
    <xf numFmtId="0" fontId="17" fillId="0" borderId="0" xfId="0" applyFont="1" applyFill="1" applyAlignment="1" applyProtection="1">
      <alignment horizontal="left" vertical="center"/>
    </xf>
    <xf numFmtId="0" fontId="27" fillId="2" borderId="4" xfId="0" applyNumberFormat="1" applyFont="1" applyFill="1" applyBorder="1" applyAlignment="1" applyProtection="1">
      <alignment horizontal="left" vertical="center" indent="1"/>
      <protection locked="0"/>
    </xf>
    <xf numFmtId="0" fontId="16" fillId="2" borderId="5" xfId="0" applyNumberFormat="1" applyFont="1" applyFill="1" applyBorder="1" applyAlignment="1" applyProtection="1">
      <alignment horizontal="left" vertical="center" indent="1"/>
      <protection locked="0"/>
    </xf>
    <xf numFmtId="0" fontId="16" fillId="2" borderId="6" xfId="0" applyNumberFormat="1" applyFont="1" applyFill="1" applyBorder="1" applyAlignment="1" applyProtection="1">
      <alignment horizontal="left" vertical="center" indent="1"/>
      <protection locked="0"/>
    </xf>
    <xf numFmtId="49" fontId="27" fillId="2" borderId="4" xfId="0" applyNumberFormat="1" applyFont="1" applyFill="1" applyBorder="1" applyAlignment="1" applyProtection="1">
      <alignment horizontal="left" vertical="center" indent="1"/>
      <protection locked="0"/>
    </xf>
    <xf numFmtId="49" fontId="16" fillId="2" borderId="5" xfId="0" applyNumberFormat="1" applyFont="1" applyFill="1" applyBorder="1" applyAlignment="1" applyProtection="1">
      <alignment horizontal="left" vertical="center" indent="1"/>
      <protection locked="0"/>
    </xf>
    <xf numFmtId="49" fontId="16" fillId="2" borderId="6" xfId="0" applyNumberFormat="1" applyFont="1" applyFill="1" applyBorder="1" applyAlignment="1" applyProtection="1">
      <alignment horizontal="left" vertical="center" indent="1"/>
      <protection locked="0"/>
    </xf>
    <xf numFmtId="0" fontId="16" fillId="0" borderId="0" xfId="0" applyFont="1" applyFill="1" applyAlignment="1" applyProtection="1">
      <alignment horizontal="left" vertical="top" wrapText="1"/>
    </xf>
    <xf numFmtId="0" fontId="27" fillId="2" borderId="4" xfId="0" applyFont="1" applyFill="1" applyBorder="1" applyAlignment="1" applyProtection="1">
      <alignment horizontal="center" vertical="center"/>
      <protection locked="0"/>
    </xf>
    <xf numFmtId="0" fontId="16" fillId="2" borderId="5" xfId="0" applyFont="1" applyFill="1" applyBorder="1" applyAlignment="1" applyProtection="1">
      <alignment horizontal="center" vertical="center"/>
      <protection locked="0"/>
    </xf>
    <xf numFmtId="0" fontId="16" fillId="2" borderId="6" xfId="0" applyFont="1" applyFill="1" applyBorder="1" applyAlignment="1" applyProtection="1">
      <alignment horizontal="center" vertical="center"/>
      <protection locked="0"/>
    </xf>
    <xf numFmtId="0" fontId="13" fillId="2" borderId="4" xfId="2" applyFont="1" applyFill="1" applyBorder="1" applyAlignment="1" applyProtection="1">
      <alignment horizontal="left" vertical="center" indent="1"/>
      <protection locked="0"/>
    </xf>
    <xf numFmtId="0" fontId="23" fillId="2" borderId="5" xfId="2" applyFont="1" applyFill="1" applyBorder="1" applyAlignment="1" applyProtection="1">
      <alignment horizontal="left" vertical="center" indent="1"/>
      <protection locked="0"/>
    </xf>
    <xf numFmtId="0" fontId="23" fillId="2" borderId="6" xfId="2" applyFont="1" applyFill="1" applyBorder="1" applyAlignment="1" applyProtection="1">
      <alignment horizontal="left" vertical="center" indent="1"/>
      <protection locked="0"/>
    </xf>
    <xf numFmtId="1" fontId="27" fillId="2" borderId="4" xfId="3" applyNumberFormat="1" applyFont="1" applyFill="1" applyBorder="1" applyAlignment="1" applyProtection="1">
      <alignment horizontal="left" vertical="center" indent="1"/>
      <protection locked="0"/>
    </xf>
    <xf numFmtId="1" fontId="16" fillId="2" borderId="5" xfId="3" applyNumberFormat="1" applyFont="1" applyFill="1" applyBorder="1" applyAlignment="1" applyProtection="1">
      <alignment horizontal="left" vertical="center" indent="1"/>
      <protection locked="0"/>
    </xf>
    <xf numFmtId="1" fontId="16" fillId="2" borderId="6" xfId="3" applyNumberFormat="1" applyFont="1" applyFill="1" applyBorder="1" applyAlignment="1" applyProtection="1">
      <alignment horizontal="left" vertical="center" indent="1"/>
      <protection locked="0"/>
    </xf>
    <xf numFmtId="10" fontId="27" fillId="2" borderId="4" xfId="3" applyNumberFormat="1" applyFont="1" applyFill="1" applyBorder="1" applyAlignment="1" applyProtection="1">
      <alignment horizontal="left" vertical="center" indent="1"/>
      <protection locked="0"/>
    </xf>
    <xf numFmtId="10" fontId="16" fillId="2" borderId="5" xfId="3" applyNumberFormat="1" applyFont="1" applyFill="1" applyBorder="1" applyAlignment="1" applyProtection="1">
      <alignment horizontal="left" vertical="center" indent="1"/>
      <protection locked="0"/>
    </xf>
    <xf numFmtId="10" fontId="16" fillId="2" borderId="6" xfId="3" applyNumberFormat="1" applyFont="1" applyFill="1" applyBorder="1" applyAlignment="1" applyProtection="1">
      <alignment horizontal="left" vertical="center" indent="1"/>
      <protection locked="0"/>
    </xf>
    <xf numFmtId="0" fontId="32" fillId="0" borderId="11" xfId="0" applyFont="1" applyFill="1" applyBorder="1" applyAlignment="1" applyProtection="1">
      <alignment horizontal="left" vertical="center" wrapText="1"/>
    </xf>
    <xf numFmtId="0" fontId="25" fillId="0" borderId="11" xfId="0" applyFont="1" applyFill="1" applyBorder="1" applyAlignment="1" applyProtection="1">
      <alignment horizontal="left" vertical="center" wrapText="1"/>
    </xf>
    <xf numFmtId="167" fontId="27" fillId="2" borderId="4" xfId="0" applyNumberFormat="1" applyFont="1" applyFill="1" applyBorder="1" applyAlignment="1" applyProtection="1">
      <alignment horizontal="left" vertical="center" indent="1"/>
      <protection locked="0"/>
    </xf>
    <xf numFmtId="167" fontId="16" fillId="2" borderId="5" xfId="0" applyNumberFormat="1" applyFont="1" applyFill="1" applyBorder="1" applyAlignment="1" applyProtection="1">
      <alignment horizontal="left" vertical="center" indent="1"/>
      <protection locked="0"/>
    </xf>
    <xf numFmtId="167" fontId="16" fillId="2" borderId="6" xfId="0" applyNumberFormat="1" applyFont="1" applyFill="1" applyBorder="1" applyAlignment="1" applyProtection="1">
      <alignment horizontal="left" vertical="center" indent="1"/>
      <protection locked="0"/>
    </xf>
    <xf numFmtId="0" fontId="27" fillId="0" borderId="7" xfId="0" applyFont="1" applyFill="1" applyBorder="1" applyAlignment="1" applyProtection="1">
      <alignment horizontal="left" vertical="center" indent="2"/>
    </xf>
    <xf numFmtId="165" fontId="27" fillId="0" borderId="0" xfId="0" applyNumberFormat="1" applyFont="1" applyFill="1" applyBorder="1" applyAlignment="1" applyProtection="1">
      <alignment horizontal="left" vertical="top" wrapText="1"/>
    </xf>
    <xf numFmtId="0" fontId="27" fillId="7" borderId="4" xfId="0" applyFont="1" applyFill="1" applyBorder="1" applyAlignment="1" applyProtection="1">
      <alignment horizontal="left" vertical="center" indent="1"/>
    </xf>
    <xf numFmtId="0" fontId="16" fillId="7" borderId="5" xfId="0" applyFont="1" applyFill="1" applyBorder="1" applyAlignment="1" applyProtection="1">
      <alignment horizontal="left" vertical="center" indent="1"/>
    </xf>
    <xf numFmtId="0" fontId="16" fillId="7" borderId="6" xfId="0" applyFont="1" applyFill="1" applyBorder="1" applyAlignment="1" applyProtection="1">
      <alignment horizontal="left" vertical="center" indent="1"/>
    </xf>
    <xf numFmtId="0" fontId="30" fillId="0" borderId="0" xfId="0" applyNumberFormat="1" applyFont="1" applyFill="1" applyAlignment="1" applyProtection="1">
      <alignment horizontal="left" vertical="center" indent="1"/>
    </xf>
    <xf numFmtId="0" fontId="31" fillId="0" borderId="0" xfId="0" quotePrefix="1" applyNumberFormat="1" applyFont="1" applyFill="1" applyAlignment="1" applyProtection="1">
      <alignment horizontal="left" vertical="center" indent="3"/>
    </xf>
    <xf numFmtId="0" fontId="30" fillId="0" borderId="0" xfId="0" applyNumberFormat="1" applyFont="1" applyFill="1" applyAlignment="1" applyProtection="1">
      <alignment horizontal="left" vertical="center" indent="3"/>
    </xf>
    <xf numFmtId="0" fontId="31" fillId="0" borderId="0" xfId="0" applyNumberFormat="1" applyFont="1" applyFill="1" applyAlignment="1" applyProtection="1">
      <alignment horizontal="left" vertical="center"/>
    </xf>
    <xf numFmtId="0" fontId="30" fillId="0" borderId="0" xfId="0" applyNumberFormat="1" applyFont="1" applyFill="1" applyAlignment="1" applyProtection="1">
      <alignment horizontal="left" vertical="center"/>
    </xf>
    <xf numFmtId="0" fontId="32"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42" fontId="27" fillId="2" borderId="4" xfId="1" applyNumberFormat="1" applyFont="1" applyFill="1" applyBorder="1" applyAlignment="1" applyProtection="1">
      <alignment horizontal="right" vertical="center"/>
      <protection locked="0"/>
    </xf>
    <xf numFmtId="42" fontId="16" fillId="2" borderId="5" xfId="1" applyNumberFormat="1" applyFont="1" applyFill="1" applyBorder="1" applyAlignment="1" applyProtection="1">
      <alignment horizontal="right" vertical="center"/>
      <protection locked="0"/>
    </xf>
    <xf numFmtId="42" fontId="16" fillId="2" borderId="6" xfId="1" applyNumberFormat="1" applyFont="1" applyFill="1" applyBorder="1" applyAlignment="1" applyProtection="1">
      <alignment horizontal="right" vertical="center"/>
      <protection locked="0"/>
    </xf>
    <xf numFmtId="0" fontId="16" fillId="0" borderId="5" xfId="0" applyFont="1" applyBorder="1" applyProtection="1">
      <protection locked="0"/>
    </xf>
    <xf numFmtId="0" fontId="16" fillId="0" borderId="6" xfId="0" applyFont="1" applyBorder="1" applyProtection="1">
      <protection locked="0"/>
    </xf>
    <xf numFmtId="0" fontId="13" fillId="0" borderId="0" xfId="0" applyFont="1" applyFill="1" applyBorder="1" applyAlignment="1" applyProtection="1">
      <alignment horizontal="left" wrapText="1"/>
    </xf>
    <xf numFmtId="0" fontId="46" fillId="0" borderId="11" xfId="0" applyFont="1" applyFill="1" applyBorder="1" applyAlignment="1" applyProtection="1">
      <alignment horizontal="left" vertical="center" wrapText="1"/>
    </xf>
    <xf numFmtId="0" fontId="46" fillId="0" borderId="0" xfId="0" applyFont="1" applyFill="1" applyBorder="1" applyAlignment="1" applyProtection="1">
      <alignment horizontal="left" vertical="center" wrapText="1"/>
    </xf>
    <xf numFmtId="0" fontId="37" fillId="2" borderId="11" xfId="0" applyFont="1" applyFill="1" applyBorder="1" applyAlignment="1" applyProtection="1">
      <alignment horizontal="left" vertical="top" wrapText="1"/>
      <protection locked="0"/>
    </xf>
    <xf numFmtId="0" fontId="37" fillId="2" borderId="14" xfId="0" applyFont="1" applyFill="1" applyBorder="1" applyAlignment="1" applyProtection="1">
      <alignment horizontal="left" vertical="top" wrapText="1"/>
      <protection locked="0"/>
    </xf>
    <xf numFmtId="0" fontId="37" fillId="2" borderId="27" xfId="0" applyFont="1" applyFill="1" applyBorder="1" applyAlignment="1" applyProtection="1">
      <alignment horizontal="left" vertical="top" wrapText="1"/>
      <protection locked="0"/>
    </xf>
    <xf numFmtId="0" fontId="37" fillId="2" borderId="0" xfId="0" applyFont="1" applyFill="1" applyBorder="1" applyAlignment="1" applyProtection="1">
      <alignment horizontal="left" vertical="top" wrapText="1"/>
      <protection locked="0"/>
    </xf>
    <xf numFmtId="0" fontId="37" fillId="2" borderId="28" xfId="0" applyFont="1" applyFill="1" applyBorder="1" applyAlignment="1" applyProtection="1">
      <alignment horizontal="left" vertical="top" wrapText="1"/>
      <protection locked="0"/>
    </xf>
    <xf numFmtId="0" fontId="37" fillId="2" borderId="17" xfId="0" applyFont="1" applyFill="1" applyBorder="1" applyAlignment="1" applyProtection="1">
      <alignment horizontal="left" vertical="top" wrapText="1"/>
      <protection locked="0"/>
    </xf>
    <xf numFmtId="0" fontId="37" fillId="2" borderId="7" xfId="0" applyFont="1" applyFill="1" applyBorder="1" applyAlignment="1" applyProtection="1">
      <alignment horizontal="left" vertical="top" wrapText="1"/>
      <protection locked="0"/>
    </xf>
    <xf numFmtId="0" fontId="37" fillId="2" borderId="18"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center" wrapText="1"/>
    </xf>
    <xf numFmtId="10" fontId="27" fillId="2" borderId="4" xfId="3" applyNumberFormat="1" applyFont="1" applyFill="1" applyBorder="1" applyAlignment="1" applyProtection="1">
      <alignment horizontal="center" vertical="center"/>
      <protection locked="0"/>
    </xf>
    <xf numFmtId="10" fontId="16" fillId="2" borderId="5" xfId="3" applyNumberFormat="1" applyFont="1" applyFill="1" applyBorder="1" applyAlignment="1" applyProtection="1">
      <alignment horizontal="center" vertical="center"/>
      <protection locked="0"/>
    </xf>
    <xf numFmtId="10" fontId="16" fillId="2" borderId="6" xfId="3" applyNumberFormat="1" applyFont="1" applyFill="1" applyBorder="1" applyAlignment="1" applyProtection="1">
      <alignment horizontal="center" vertical="center"/>
      <protection locked="0"/>
    </xf>
    <xf numFmtId="3" fontId="27" fillId="2" borderId="4" xfId="3" applyNumberFormat="1" applyFont="1" applyFill="1" applyBorder="1" applyAlignment="1" applyProtection="1">
      <alignment horizontal="center" vertical="center"/>
      <protection locked="0"/>
    </xf>
    <xf numFmtId="3" fontId="16" fillId="2" borderId="5" xfId="3" applyNumberFormat="1" applyFont="1" applyFill="1" applyBorder="1" applyAlignment="1" applyProtection="1">
      <alignment horizontal="center" vertical="center"/>
      <protection locked="0"/>
    </xf>
    <xf numFmtId="3" fontId="16" fillId="2" borderId="6" xfId="3" applyNumberFormat="1" applyFont="1" applyFill="1" applyBorder="1" applyAlignment="1" applyProtection="1">
      <alignment horizontal="center" vertical="center"/>
      <protection locked="0"/>
    </xf>
    <xf numFmtId="3" fontId="27" fillId="2" borderId="4" xfId="1" applyNumberFormat="1" applyFont="1" applyFill="1" applyBorder="1" applyAlignment="1" applyProtection="1">
      <alignment horizontal="center" vertical="center"/>
      <protection locked="0"/>
    </xf>
    <xf numFmtId="3" fontId="16" fillId="0" borderId="5" xfId="0" applyNumberFormat="1" applyFont="1" applyBorder="1" applyAlignment="1" applyProtection="1">
      <alignment horizontal="center"/>
      <protection locked="0"/>
    </xf>
    <xf numFmtId="3" fontId="16" fillId="0" borderId="6" xfId="0" applyNumberFormat="1" applyFont="1" applyBorder="1" applyAlignment="1" applyProtection="1">
      <alignment horizontal="center"/>
      <protection locked="0"/>
    </xf>
    <xf numFmtId="0" fontId="27" fillId="0" borderId="0" xfId="0" applyFont="1" applyFill="1" applyBorder="1" applyAlignment="1" applyProtection="1">
      <alignment horizontal="left" vertical="center" wrapText="1" indent="2"/>
    </xf>
    <xf numFmtId="14" fontId="27" fillId="2" borderId="1" xfId="1" applyNumberFormat="1" applyFont="1" applyFill="1" applyBorder="1" applyAlignment="1" applyProtection="1">
      <alignment horizontal="center" vertical="center"/>
      <protection locked="0"/>
    </xf>
    <xf numFmtId="14" fontId="16" fillId="2" borderId="1" xfId="1" applyNumberFormat="1" applyFont="1" applyFill="1" applyBorder="1" applyAlignment="1" applyProtection="1">
      <alignment horizontal="center" vertical="center"/>
      <protection locked="0"/>
    </xf>
    <xf numFmtId="0" fontId="27" fillId="2" borderId="1" xfId="0" applyFont="1" applyFill="1" applyBorder="1" applyAlignment="1" applyProtection="1">
      <alignment horizontal="left" vertical="center" indent="1"/>
      <protection locked="0"/>
    </xf>
    <xf numFmtId="0" fontId="16" fillId="2" borderId="1" xfId="0" applyFont="1" applyFill="1" applyBorder="1" applyAlignment="1" applyProtection="1">
      <alignment horizontal="left" vertical="center" indent="1"/>
      <protection locked="0"/>
    </xf>
    <xf numFmtId="0" fontId="30" fillId="0" borderId="0" xfId="0" applyFont="1" applyFill="1" applyAlignment="1" applyProtection="1">
      <alignment horizontal="left" vertical="center" wrapText="1"/>
    </xf>
    <xf numFmtId="0" fontId="33" fillId="0" borderId="0" xfId="0" applyFont="1" applyFill="1" applyAlignment="1" applyProtection="1">
      <alignment horizontal="left" vertical="center" wrapText="1"/>
    </xf>
    <xf numFmtId="0" fontId="32" fillId="0" borderId="1" xfId="0" applyFont="1" applyFill="1" applyBorder="1" applyAlignment="1" applyProtection="1">
      <alignment horizontal="left" vertical="center" wrapText="1" indent="3"/>
    </xf>
    <xf numFmtId="0" fontId="25" fillId="0" borderId="1" xfId="0" applyFont="1" applyFill="1" applyBorder="1" applyAlignment="1" applyProtection="1">
      <alignment horizontal="left" vertical="center" wrapText="1" indent="3"/>
    </xf>
    <xf numFmtId="0" fontId="31" fillId="13" borderId="1" xfId="0" applyFont="1" applyFill="1" applyBorder="1" applyAlignment="1" applyProtection="1">
      <alignment horizontal="left" vertical="center" indent="1"/>
    </xf>
    <xf numFmtId="0" fontId="30" fillId="13" borderId="1" xfId="0" applyFont="1" applyFill="1" applyBorder="1" applyAlignment="1" applyProtection="1">
      <alignment horizontal="left" vertical="center" indent="1"/>
    </xf>
    <xf numFmtId="0" fontId="31" fillId="13" borderId="15" xfId="0" applyFont="1" applyFill="1" applyBorder="1" applyAlignment="1" applyProtection="1">
      <alignment horizontal="left" vertical="center" indent="1"/>
    </xf>
    <xf numFmtId="0" fontId="30" fillId="13" borderId="15" xfId="0" applyFont="1" applyFill="1" applyBorder="1" applyAlignment="1" applyProtection="1">
      <alignment horizontal="left" vertical="center" indent="1"/>
    </xf>
    <xf numFmtId="0" fontId="37" fillId="2" borderId="16" xfId="0" applyFont="1" applyFill="1" applyBorder="1" applyAlignment="1" applyProtection="1">
      <alignment horizontal="left" vertical="top" wrapText="1" indent="1"/>
      <protection locked="0"/>
    </xf>
    <xf numFmtId="0" fontId="13" fillId="2" borderId="11" xfId="0" applyFont="1" applyFill="1" applyBorder="1" applyAlignment="1" applyProtection="1">
      <alignment horizontal="left" vertical="top" wrapText="1" indent="1"/>
      <protection locked="0"/>
    </xf>
    <xf numFmtId="0" fontId="13" fillId="2" borderId="14" xfId="0" applyFont="1" applyFill="1" applyBorder="1" applyAlignment="1" applyProtection="1">
      <alignment horizontal="left" vertical="top" wrapText="1" indent="1"/>
      <protection locked="0"/>
    </xf>
    <xf numFmtId="0" fontId="13" fillId="2" borderId="27" xfId="0" applyFont="1" applyFill="1" applyBorder="1" applyAlignment="1" applyProtection="1">
      <alignment horizontal="left" vertical="top" wrapText="1" indent="1"/>
      <protection locked="0"/>
    </xf>
    <xf numFmtId="0" fontId="13" fillId="2" borderId="0" xfId="0" applyFont="1" applyFill="1" applyBorder="1" applyAlignment="1" applyProtection="1">
      <alignment horizontal="left" vertical="top" wrapText="1" indent="1"/>
      <protection locked="0"/>
    </xf>
    <xf numFmtId="0" fontId="13" fillId="2" borderId="28" xfId="0" applyFont="1" applyFill="1" applyBorder="1" applyAlignment="1" applyProtection="1">
      <alignment horizontal="left" vertical="top" wrapText="1" indent="1"/>
      <protection locked="0"/>
    </xf>
    <xf numFmtId="0" fontId="13" fillId="2" borderId="17" xfId="0" applyFont="1" applyFill="1" applyBorder="1" applyAlignment="1" applyProtection="1">
      <alignment horizontal="left" vertical="top" wrapText="1" indent="1"/>
      <protection locked="0"/>
    </xf>
    <xf numFmtId="0" fontId="13" fillId="2" borderId="7" xfId="0" applyFont="1" applyFill="1" applyBorder="1" applyAlignment="1" applyProtection="1">
      <alignment horizontal="left" vertical="top" wrapText="1" indent="1"/>
      <protection locked="0"/>
    </xf>
    <xf numFmtId="0" fontId="13" fillId="2" borderId="18" xfId="0" applyFont="1" applyFill="1" applyBorder="1" applyAlignment="1" applyProtection="1">
      <alignment horizontal="left" vertical="top" wrapText="1" indent="1"/>
      <protection locked="0"/>
    </xf>
    <xf numFmtId="0" fontId="32" fillId="0" borderId="16" xfId="0" applyFont="1" applyFill="1" applyBorder="1" applyAlignment="1" applyProtection="1">
      <alignment horizontal="left" vertical="center" wrapText="1" indent="1"/>
    </xf>
    <xf numFmtId="0" fontId="32" fillId="0" borderId="11" xfId="0" applyFont="1" applyFill="1" applyBorder="1" applyAlignment="1" applyProtection="1">
      <alignment horizontal="left" vertical="center" wrapText="1" indent="1"/>
    </xf>
    <xf numFmtId="0" fontId="32" fillId="0" borderId="14" xfId="0" applyFont="1" applyFill="1" applyBorder="1" applyAlignment="1" applyProtection="1">
      <alignment horizontal="left" vertical="center" wrapText="1" indent="1"/>
    </xf>
    <xf numFmtId="0" fontId="32" fillId="0" borderId="27" xfId="0" applyFont="1" applyFill="1" applyBorder="1" applyAlignment="1" applyProtection="1">
      <alignment horizontal="left" vertical="center" wrapText="1" indent="1"/>
    </xf>
    <xf numFmtId="0" fontId="32" fillId="0" borderId="0" xfId="0" applyFont="1" applyFill="1" applyBorder="1" applyAlignment="1" applyProtection="1">
      <alignment horizontal="left" vertical="center" wrapText="1" indent="1"/>
    </xf>
    <xf numFmtId="0" fontId="32" fillId="0" borderId="28" xfId="0" applyFont="1" applyFill="1" applyBorder="1" applyAlignment="1" applyProtection="1">
      <alignment horizontal="left" vertical="center" wrapText="1" indent="1"/>
    </xf>
    <xf numFmtId="0" fontId="32" fillId="0" borderId="17" xfId="0" applyFont="1" applyFill="1" applyBorder="1" applyAlignment="1" applyProtection="1">
      <alignment horizontal="left" vertical="center" wrapText="1" indent="1"/>
    </xf>
    <xf numFmtId="0" fontId="32" fillId="0" borderId="7" xfId="0" applyFont="1" applyFill="1" applyBorder="1" applyAlignment="1" applyProtection="1">
      <alignment horizontal="left" vertical="center" wrapText="1" indent="1"/>
    </xf>
    <xf numFmtId="0" fontId="32" fillId="0" borderId="18" xfId="0" applyFont="1" applyFill="1" applyBorder="1" applyAlignment="1" applyProtection="1">
      <alignment horizontal="left" vertical="center" wrapText="1" indent="1"/>
    </xf>
    <xf numFmtId="0" fontId="25" fillId="23" borderId="4" xfId="0" applyFont="1" applyFill="1" applyBorder="1" applyAlignment="1" applyProtection="1">
      <alignment horizontal="center" vertical="center"/>
    </xf>
    <xf numFmtId="0" fontId="27" fillId="23" borderId="5" xfId="0" applyFont="1" applyFill="1" applyBorder="1" applyAlignment="1" applyProtection="1">
      <alignment horizontal="center" vertical="center"/>
    </xf>
    <xf numFmtId="0" fontId="27" fillId="23" borderId="6" xfId="0" applyFont="1" applyFill="1" applyBorder="1" applyAlignment="1" applyProtection="1">
      <alignment horizontal="center" vertical="center"/>
    </xf>
    <xf numFmtId="0" fontId="16" fillId="0" borderId="7" xfId="0" applyFont="1" applyFill="1" applyBorder="1" applyAlignment="1" applyProtection="1">
      <alignment horizontal="left" vertical="center" wrapText="1"/>
    </xf>
    <xf numFmtId="0" fontId="27" fillId="0" borderId="7" xfId="0" applyFont="1" applyFill="1" applyBorder="1" applyAlignment="1" applyProtection="1">
      <alignment horizontal="left" vertical="center" shrinkToFit="1"/>
    </xf>
    <xf numFmtId="0" fontId="16" fillId="0" borderId="7" xfId="0" applyFont="1" applyFill="1" applyBorder="1" applyAlignment="1" applyProtection="1">
      <alignment horizontal="left" vertical="center" shrinkToFit="1"/>
    </xf>
    <xf numFmtId="0" fontId="31" fillId="0" borderId="21" xfId="0" applyFont="1" applyFill="1" applyBorder="1" applyAlignment="1" applyProtection="1">
      <alignment horizontal="center" vertical="center"/>
    </xf>
    <xf numFmtId="0" fontId="30" fillId="0" borderId="21" xfId="0" applyFont="1" applyFill="1" applyBorder="1" applyAlignment="1" applyProtection="1">
      <alignment horizontal="center" vertical="center"/>
    </xf>
    <xf numFmtId="0" fontId="13" fillId="0" borderId="0" xfId="0" applyFont="1" applyFill="1" applyBorder="1" applyAlignment="1" applyProtection="1">
      <alignment horizontal="left" vertical="center" wrapText="1"/>
    </xf>
    <xf numFmtId="0" fontId="25" fillId="0" borderId="32" xfId="0" applyFont="1" applyFill="1" applyBorder="1" applyAlignment="1" applyProtection="1">
      <alignment horizontal="left" wrapText="1"/>
    </xf>
    <xf numFmtId="0" fontId="25" fillId="0" borderId="0" xfId="0" applyFont="1" applyFill="1" applyAlignment="1" applyProtection="1">
      <alignment horizontal="left" wrapText="1"/>
    </xf>
    <xf numFmtId="0" fontId="32" fillId="0" borderId="11" xfId="0" applyFont="1" applyFill="1" applyBorder="1" applyAlignment="1" applyProtection="1">
      <alignment horizontal="left" vertical="top" wrapText="1"/>
    </xf>
    <xf numFmtId="0" fontId="32" fillId="0" borderId="0" xfId="0" applyFont="1" applyFill="1" applyBorder="1" applyAlignment="1" applyProtection="1">
      <alignment horizontal="left" vertical="top" wrapText="1"/>
    </xf>
    <xf numFmtId="0" fontId="31" fillId="14" borderId="1" xfId="0" applyFont="1" applyFill="1" applyBorder="1" applyAlignment="1" applyProtection="1">
      <alignment horizontal="left" vertical="center" wrapText="1" indent="3"/>
    </xf>
    <xf numFmtId="0" fontId="30" fillId="14" borderId="1" xfId="0" applyFont="1" applyFill="1" applyBorder="1" applyAlignment="1" applyProtection="1">
      <alignment horizontal="left" vertical="center" wrapText="1" indent="3"/>
    </xf>
    <xf numFmtId="0" fontId="31" fillId="14" borderId="16" xfId="0" applyFont="1" applyFill="1" applyBorder="1" applyAlignment="1" applyProtection="1">
      <alignment horizontal="left" vertical="center" wrapText="1" indent="3"/>
    </xf>
    <xf numFmtId="0" fontId="31" fillId="14" borderId="11" xfId="0" applyFont="1" applyFill="1" applyBorder="1" applyAlignment="1" applyProtection="1">
      <alignment horizontal="left" vertical="center" wrapText="1" indent="3"/>
    </xf>
    <xf numFmtId="0" fontId="31" fillId="14" borderId="14" xfId="0" applyFont="1" applyFill="1" applyBorder="1" applyAlignment="1" applyProtection="1">
      <alignment horizontal="left" vertical="center" wrapText="1" indent="3"/>
    </xf>
    <xf numFmtId="0" fontId="31" fillId="14" borderId="17" xfId="0" applyFont="1" applyFill="1" applyBorder="1" applyAlignment="1" applyProtection="1">
      <alignment horizontal="left" vertical="center" wrapText="1" indent="3"/>
    </xf>
    <xf numFmtId="0" fontId="31" fillId="14" borderId="7" xfId="0" applyFont="1" applyFill="1" applyBorder="1" applyAlignment="1" applyProtection="1">
      <alignment horizontal="left" vertical="center" wrapText="1" indent="3"/>
    </xf>
    <xf numFmtId="0" fontId="31" fillId="14" borderId="18" xfId="0" applyFont="1" applyFill="1" applyBorder="1" applyAlignment="1" applyProtection="1">
      <alignment horizontal="left" vertical="center" wrapText="1" indent="3"/>
    </xf>
    <xf numFmtId="0" fontId="30" fillId="0" borderId="21" xfId="0" applyFont="1" applyFill="1" applyBorder="1" applyAlignment="1" applyProtection="1">
      <alignment horizontal="left" vertical="center"/>
    </xf>
    <xf numFmtId="44" fontId="27" fillId="0" borderId="1" xfId="0" applyNumberFormat="1" applyFont="1" applyFill="1" applyBorder="1" applyAlignment="1" applyProtection="1">
      <alignment horizontal="center" vertical="center"/>
    </xf>
    <xf numFmtId="14" fontId="27" fillId="2" borderId="4" xfId="0" applyNumberFormat="1" applyFont="1" applyFill="1" applyBorder="1" applyAlignment="1" applyProtection="1">
      <alignment horizontal="center" vertical="center"/>
      <protection locked="0"/>
    </xf>
    <xf numFmtId="14" fontId="16" fillId="2" borderId="5" xfId="0" applyNumberFormat="1" applyFont="1" applyFill="1" applyBorder="1" applyAlignment="1" applyProtection="1">
      <alignment horizontal="center" vertical="center"/>
      <protection locked="0"/>
    </xf>
    <xf numFmtId="14" fontId="16" fillId="2" borderId="6" xfId="0" applyNumberFormat="1" applyFont="1" applyFill="1" applyBorder="1" applyAlignment="1" applyProtection="1">
      <alignment horizontal="center" vertical="center"/>
      <protection locked="0"/>
    </xf>
    <xf numFmtId="0" fontId="44" fillId="0" borderId="0" xfId="0" applyFont="1" applyFill="1" applyBorder="1" applyAlignment="1" applyProtection="1">
      <alignment horizontal="center" vertical="center" shrinkToFit="1"/>
    </xf>
    <xf numFmtId="0" fontId="27" fillId="0" borderId="11" xfId="0" applyFont="1" applyFill="1" applyBorder="1" applyAlignment="1" applyProtection="1">
      <alignment horizontal="left" wrapText="1"/>
    </xf>
    <xf numFmtId="0" fontId="27" fillId="2" borderId="16" xfId="0" applyFont="1" applyFill="1" applyBorder="1" applyAlignment="1" applyProtection="1">
      <alignment horizontal="left" vertical="top" wrapText="1"/>
      <protection locked="0"/>
    </xf>
    <xf numFmtId="0" fontId="27" fillId="2" borderId="11" xfId="0" applyFont="1" applyFill="1" applyBorder="1" applyAlignment="1" applyProtection="1">
      <alignment horizontal="left" vertical="top" wrapText="1"/>
      <protection locked="0"/>
    </xf>
    <xf numFmtId="0" fontId="27" fillId="2" borderId="14" xfId="0" applyFont="1" applyFill="1" applyBorder="1" applyAlignment="1" applyProtection="1">
      <alignment horizontal="left" vertical="top" wrapText="1"/>
      <protection locked="0"/>
    </xf>
    <xf numFmtId="0" fontId="27" fillId="2" borderId="17" xfId="0" applyFont="1" applyFill="1" applyBorder="1" applyAlignment="1" applyProtection="1">
      <alignment horizontal="left" vertical="top" wrapText="1"/>
      <protection locked="0"/>
    </xf>
    <xf numFmtId="0" fontId="27" fillId="2" borderId="7" xfId="0" applyFont="1" applyFill="1" applyBorder="1" applyAlignment="1" applyProtection="1">
      <alignment horizontal="left" vertical="top" wrapText="1"/>
      <protection locked="0"/>
    </xf>
    <xf numFmtId="0" fontId="27" fillId="2" borderId="18" xfId="0" applyFont="1" applyFill="1" applyBorder="1" applyAlignment="1" applyProtection="1">
      <alignment horizontal="left" vertical="top" wrapText="1"/>
      <protection locked="0"/>
    </xf>
    <xf numFmtId="0" fontId="27" fillId="0" borderId="7"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32" fillId="0" borderId="0" xfId="0" applyFont="1" applyFill="1" applyBorder="1" applyAlignment="1" applyProtection="1">
      <alignment horizontal="left" vertical="center" wrapText="1"/>
    </xf>
    <xf numFmtId="3" fontId="27" fillId="7" borderId="4" xfId="0" applyNumberFormat="1" applyFont="1" applyFill="1" applyBorder="1" applyAlignment="1" applyProtection="1">
      <alignment horizontal="center" vertical="center"/>
    </xf>
    <xf numFmtId="3" fontId="16" fillId="7" borderId="5" xfId="0" applyNumberFormat="1" applyFont="1" applyFill="1" applyBorder="1" applyAlignment="1" applyProtection="1">
      <alignment horizontal="center" vertical="center"/>
    </xf>
    <xf numFmtId="3" fontId="16" fillId="7" borderId="6" xfId="0" applyNumberFormat="1" applyFont="1" applyFill="1" applyBorder="1" applyAlignment="1" applyProtection="1">
      <alignment horizontal="center" vertical="center"/>
    </xf>
    <xf numFmtId="0" fontId="23" fillId="0" borderId="0" xfId="0" applyFont="1" applyFill="1" applyBorder="1" applyAlignment="1" applyProtection="1">
      <alignment horizontal="left" vertical="center" wrapText="1"/>
    </xf>
    <xf numFmtId="0" fontId="27" fillId="0" borderId="0" xfId="0" applyNumberFormat="1" applyFont="1" applyFill="1" applyAlignment="1">
      <alignment horizontal="left" vertical="center" wrapText="1"/>
    </xf>
    <xf numFmtId="16" fontId="27" fillId="2" borderId="1" xfId="0" applyNumberFormat="1" applyFont="1" applyFill="1" applyBorder="1" applyAlignment="1" applyProtection="1">
      <alignment horizontal="left" vertical="center" indent="1"/>
      <protection locked="0"/>
    </xf>
    <xf numFmtId="0" fontId="27" fillId="0" borderId="0" xfId="0" applyFont="1" applyFill="1" applyBorder="1" applyAlignment="1" applyProtection="1">
      <alignment horizontal="left" vertical="top" wrapText="1"/>
    </xf>
    <xf numFmtId="0" fontId="27" fillId="0" borderId="0" xfId="0" applyFont="1" applyFill="1" applyBorder="1" applyAlignment="1" applyProtection="1">
      <alignment horizontal="left" wrapText="1"/>
    </xf>
    <xf numFmtId="1" fontId="27" fillId="2" borderId="24" xfId="0" applyNumberFormat="1" applyFont="1" applyFill="1" applyBorder="1" applyAlignment="1" applyProtection="1">
      <alignment horizontal="right" vertical="center" indent="1"/>
      <protection locked="0"/>
    </xf>
    <xf numFmtId="0" fontId="27" fillId="2" borderId="24" xfId="0" applyFont="1" applyFill="1" applyBorder="1" applyAlignment="1" applyProtection="1">
      <alignment horizontal="right" vertical="center" indent="1"/>
      <protection locked="0"/>
    </xf>
    <xf numFmtId="168" fontId="27" fillId="2" borderId="24" xfId="0" applyNumberFormat="1" applyFont="1" applyFill="1" applyBorder="1" applyAlignment="1" applyProtection="1">
      <alignment horizontal="right" vertical="center" indent="1"/>
      <protection locked="0"/>
    </xf>
  </cellXfs>
  <cellStyles count="8">
    <cellStyle name="Comma 2" xfId="6" xr:uid="{00000000-0005-0000-0000-000000000000}"/>
    <cellStyle name="Currency" xfId="1" builtinId="4"/>
    <cellStyle name="Currency 2" xfId="7" xr:uid="{00000000-0005-0000-0000-000002000000}"/>
    <cellStyle name="Hyperlink" xfId="2" builtinId="8"/>
    <cellStyle name="Normal" xfId="0" builtinId="0"/>
    <cellStyle name="Normal 2" xfId="4" xr:uid="{00000000-0005-0000-0000-000005000000}"/>
    <cellStyle name="Percent" xfId="3" builtinId="5"/>
    <cellStyle name="Percent 2" xfId="5" xr:uid="{00000000-0005-0000-0000-000007000000}"/>
  </cellStyles>
  <dxfs count="350">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righ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righ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righ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righ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righ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border outline="0">
        <left style="thin">
          <color theme="9" tint="0.39997558519241921"/>
        </left>
        <right style="thin">
          <color theme="9" tint="0.39997558519241921"/>
        </right>
        <top style="thin">
          <color theme="9" tint="0.39997558519241921"/>
        </top>
        <bottom style="thin">
          <color theme="9" tint="0.39997558519241921"/>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border outline="0">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alignment horizontal="left" vertical="bottom" textRotation="0" wrapText="0" 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alignment horizontal="left" vertical="bottom" textRotation="0" wrapText="0" relativeIndent="0" justifyLastLine="0" shrinkToFit="0" readingOrder="0"/>
    </dxf>
    <dxf>
      <font>
        <strike val="0"/>
        <outline val="0"/>
        <shadow val="0"/>
        <u val="none"/>
        <vertAlign val="baseline"/>
        <sz val="10"/>
        <color theme="1"/>
        <name val="Calibri"/>
        <scheme val="minor"/>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left" vertical="bottom" textRotation="0" wrapText="0" relativeIndent="0" justifyLastLine="0" shrinkToFit="0" readingOrder="0"/>
    </dxf>
    <dxf>
      <font>
        <strike val="0"/>
        <outline val="0"/>
        <shadow val="0"/>
        <u val="none"/>
        <vertAlign val="baseline"/>
        <sz val="10"/>
        <color theme="1"/>
        <name val="Calibri"/>
        <scheme val="minor"/>
      </font>
      <numFmt numFmtId="0" formatCode="General"/>
      <alignment horizontal="left" vertical="bottom" textRotation="0" wrapText="0" indent="0" justifyLastLine="0" shrinkToFit="0" readingOrder="0"/>
    </dxf>
    <dxf>
      <font>
        <strike val="0"/>
        <outline val="0"/>
        <shadow val="0"/>
        <u val="none"/>
        <vertAlign val="baseline"/>
        <sz val="10"/>
        <color theme="1"/>
        <name val="Calibri"/>
        <scheme val="minor"/>
      </font>
      <alignment horizontal="left" vertical="bottom" textRotation="0" wrapText="0" relativeIndent="0" justifyLastLine="0" shrinkToFit="0" readingOrder="0"/>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color theme="0"/>
      </font>
      <fill>
        <patternFill>
          <bgColor theme="6" tint="-0.24994659260841701"/>
        </patternFill>
      </fill>
    </dxf>
    <dxf>
      <font>
        <b val="0"/>
        <i val="0"/>
        <color theme="0"/>
      </font>
      <fill>
        <patternFill>
          <bgColor theme="6" tint="-0.24994659260841701"/>
        </patternFill>
      </fill>
    </dxf>
    <dxf>
      <font>
        <b val="0"/>
        <i val="0"/>
        <color theme="0"/>
      </font>
      <fill>
        <patternFill>
          <bgColor theme="6" tint="-0.24994659260841701"/>
        </patternFill>
      </fill>
    </dxf>
    <dxf>
      <font>
        <b val="0"/>
        <i val="0"/>
        <color theme="0"/>
      </font>
      <fill>
        <patternFill>
          <bgColor theme="6" tint="-0.24994659260841701"/>
        </patternFill>
      </fill>
    </dxf>
    <dxf>
      <font>
        <b val="0"/>
        <i val="0"/>
        <color theme="0"/>
      </font>
      <fill>
        <patternFill>
          <bgColor theme="6" tint="-0.24994659260841701"/>
        </patternFill>
      </fill>
    </dxf>
    <dxf>
      <fill>
        <patternFill>
          <bgColor rgb="FFF7EAE9"/>
        </patternFill>
      </fill>
    </dxf>
    <dxf>
      <fill>
        <patternFill>
          <bgColor rgb="FFF0F5E7"/>
        </patternFill>
      </fill>
    </dxf>
    <dxf>
      <font>
        <color theme="0"/>
      </font>
      <fill>
        <patternFill patternType="none">
          <bgColor auto="1"/>
        </patternFill>
      </fill>
    </dxf>
    <dxf>
      <font>
        <b/>
        <i val="0"/>
        <color theme="0"/>
      </font>
      <fill>
        <patternFill>
          <bgColor theme="5" tint="-0.24994659260841701"/>
        </patternFill>
      </fill>
      <border>
        <left/>
        <right/>
        <top/>
        <bottom/>
      </border>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bgColor theme="9" tint="0.79998168889431442"/>
        </patternFill>
      </fill>
    </dxf>
    <dxf>
      <fill>
        <patternFill patternType="lightUp">
          <fgColor theme="0" tint="-0.24994659260841701"/>
          <bgColor theme="0" tint="-0.14996795556505021"/>
        </patternFill>
      </fill>
    </dxf>
    <dxf>
      <font>
        <b/>
        <i val="0"/>
        <color rgb="FFFF0000"/>
      </font>
    </dxf>
    <dxf>
      <font>
        <b/>
        <i val="0"/>
        <color rgb="FFFF0000"/>
      </font>
    </dxf>
    <dxf>
      <fill>
        <patternFill patternType="lightUp">
          <fgColor theme="0" tint="-0.24994659260841701"/>
          <bgColor theme="0" tint="-0.14993743705557422"/>
        </patternFill>
      </fill>
    </dxf>
    <dxf>
      <fill>
        <patternFill patternType="lightUp">
          <fgColor theme="0" tint="-0.24994659260841701"/>
          <bgColor theme="0" tint="-0.14996795556505021"/>
        </patternFill>
      </fill>
    </dxf>
    <dxf>
      <font>
        <b/>
        <i val="0"/>
        <color rgb="FFFF0000"/>
      </font>
    </dxf>
    <dxf>
      <fill>
        <patternFill patternType="lightUp">
          <fgColor theme="0" tint="-0.24994659260841701"/>
          <bgColor theme="0" tint="-0.14996795556505021"/>
        </patternFill>
      </fill>
    </dxf>
    <dxf>
      <font>
        <b/>
        <i val="0"/>
        <color rgb="FFFF0000"/>
      </font>
    </dxf>
    <dxf>
      <font>
        <b/>
        <i val="0"/>
        <color theme="0"/>
      </font>
      <fill>
        <patternFill>
          <bgColor theme="5" tint="-0.24994659260841701"/>
        </patternFill>
      </fill>
      <border>
        <left/>
        <right/>
        <top/>
        <bottom/>
      </border>
    </dxf>
    <dxf>
      <font>
        <b/>
        <i val="0"/>
        <color rgb="FFFF0000"/>
      </font>
    </dxf>
    <dxf>
      <fill>
        <patternFill patternType="lightUp">
          <fgColor theme="0" tint="-0.24994659260841701"/>
          <bgColor theme="0" tint="-0.14996795556505021"/>
        </patternFill>
      </fill>
    </dxf>
    <dxf>
      <font>
        <b/>
        <i val="0"/>
        <color theme="0"/>
      </font>
      <fill>
        <patternFill>
          <bgColor theme="5" tint="-0.24994659260841701"/>
        </patternFill>
      </fill>
      <border>
        <left/>
        <right/>
        <top/>
        <bottom/>
      </border>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b/>
        <i val="0"/>
        <color rgb="FFFF0000"/>
      </font>
    </dxf>
    <dxf>
      <font>
        <b/>
        <i val="0"/>
        <color rgb="FFFF0000"/>
      </font>
    </dxf>
    <dxf>
      <font>
        <b/>
        <i val="0"/>
        <color rgb="FFFF0000"/>
      </font>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bgColor theme="9" tint="0.79998168889431442"/>
        </patternFill>
      </fill>
      <border>
        <left style="thin">
          <color theme="9" tint="0.59996337778862885"/>
        </left>
        <right style="thin">
          <color theme="9" tint="0.59996337778862885"/>
        </right>
        <top style="thin">
          <color theme="9" tint="0.59996337778862885"/>
        </top>
        <bottom style="thin">
          <color theme="9" tint="0.59996337778862885"/>
        </bottom>
        <vertical/>
        <horizontal/>
      </border>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bgColor theme="6" tint="0.59996337778862885"/>
        </patternFill>
      </fill>
    </dxf>
    <dxf>
      <font>
        <b/>
        <i val="0"/>
      </font>
      <fill>
        <patternFill>
          <bgColor theme="6" tint="0.59996337778862885"/>
        </patternFill>
      </fill>
      <border>
        <left/>
        <right/>
        <top/>
        <bottom/>
      </border>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dxf>
    <dxf>
      <font>
        <color theme="0"/>
      </font>
      <fill>
        <patternFill patternType="none">
          <bgColor auto="1"/>
        </patternFill>
      </fill>
    </dxf>
    <dxf>
      <fill>
        <patternFill>
          <bgColor rgb="FFF0F5E7"/>
        </patternFill>
      </fill>
    </dxf>
    <dxf>
      <fill>
        <patternFill patternType="solid">
          <fgColor auto="1"/>
          <bgColor rgb="FFF7EAE9"/>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34998626667073579"/>
          <bgColor theme="0" tint="-0.14993743705557422"/>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b/>
        <i val="0"/>
      </font>
      <fill>
        <patternFill>
          <bgColor theme="9" tint="0.79998168889431442"/>
        </patternFill>
      </fill>
      <border>
        <left/>
        <right style="thin">
          <color theme="9" tint="0.39994506668294322"/>
        </right>
        <top style="thin">
          <color theme="9" tint="0.39994506668294322"/>
        </top>
        <bottom style="thin">
          <color theme="9" tint="0.39994506668294322"/>
        </bottom>
      </border>
    </dxf>
    <dxf>
      <fill>
        <patternFill>
          <bgColor theme="9" tint="0.79998168889431442"/>
        </patternFill>
      </fill>
      <border>
        <left style="thin">
          <color theme="9" tint="0.39994506668294322"/>
        </left>
        <right/>
        <top style="thin">
          <color theme="9" tint="0.39994506668294322"/>
        </top>
        <bottom style="thin">
          <color theme="9" tint="0.39994506668294322"/>
        </bottom>
        <vertical/>
        <horizontal/>
      </border>
    </dxf>
    <dxf>
      <font>
        <b/>
        <i val="0"/>
        <color theme="0"/>
      </font>
      <fill>
        <patternFill>
          <bgColor theme="5" tint="-0.24994659260841701"/>
        </patternFill>
      </fill>
      <border>
        <left/>
        <right/>
        <top/>
        <bottom/>
      </border>
    </dxf>
    <dxf>
      <fill>
        <patternFill>
          <bgColor rgb="FFF7EAE9"/>
        </patternFill>
      </fill>
    </dxf>
    <dxf>
      <fill>
        <patternFill>
          <bgColor rgb="FFF0F5E7"/>
        </patternFill>
      </fill>
    </dxf>
    <dxf>
      <fill>
        <patternFill patternType="solid">
          <fgColor auto="1"/>
          <bgColor rgb="FFF7EAE9"/>
        </patternFill>
      </fill>
    </dxf>
    <dxf>
      <font>
        <b/>
        <i val="0"/>
        <color theme="0"/>
      </font>
      <fill>
        <patternFill>
          <bgColor theme="5" tint="-0.24994659260841701"/>
        </patternFill>
      </fill>
      <border>
        <left/>
        <right/>
        <top/>
        <bottom/>
      </border>
    </dxf>
    <dxf>
      <fill>
        <patternFill patternType="lightUp">
          <fgColor theme="0" tint="-0.24994659260841701"/>
          <bgColor theme="0" tint="-0.14996795556505021"/>
        </patternFill>
      </fill>
    </dxf>
    <dxf>
      <fill>
        <patternFill>
          <bgColor theme="9" tint="0.79998168889431442"/>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b/>
        <i val="0"/>
        <color rgb="FFFF0000"/>
      </font>
    </dxf>
    <dxf>
      <fill>
        <patternFill patternType="lightUp">
          <fgColor theme="0" tint="-0.24994659260841701"/>
          <bgColor theme="0" tint="-0.14993743705557422"/>
        </patternFill>
      </fill>
    </dxf>
    <dxf>
      <font>
        <b/>
        <i val="0"/>
        <color rgb="FFFF0000"/>
      </font>
    </dxf>
    <dxf>
      <font>
        <b/>
        <i val="0"/>
        <color rgb="FFFF0000"/>
      </font>
    </dxf>
    <dxf>
      <fill>
        <patternFill patternType="lightUp">
          <fgColor theme="0" tint="-0.24994659260841701"/>
          <bgColor theme="0" tint="-0.14993743705557422"/>
        </patternFill>
      </fill>
    </dxf>
    <dxf>
      <font>
        <b/>
        <i val="0"/>
        <color rgb="FFFF0000"/>
      </font>
    </dxf>
    <dxf>
      <font>
        <b/>
        <i val="0"/>
        <color theme="0"/>
      </font>
      <fill>
        <patternFill>
          <bgColor theme="5" tint="-0.24994659260841701"/>
        </patternFill>
      </fill>
      <border>
        <left/>
        <right/>
        <top/>
        <bottom/>
      </border>
    </dxf>
    <dxf>
      <font>
        <b/>
        <i val="0"/>
        <color rgb="FFFF0000"/>
      </font>
    </dxf>
    <dxf>
      <fill>
        <patternFill patternType="lightUp">
          <fgColor theme="0" tint="-0.24994659260841701"/>
          <bgColor theme="0" tint="-0.14996795556505021"/>
        </patternFill>
      </fill>
    </dxf>
    <dxf>
      <font>
        <b/>
        <i val="0"/>
        <color theme="0"/>
      </font>
      <fill>
        <patternFill>
          <bgColor theme="5" tint="-0.24994659260841701"/>
        </patternFill>
      </fill>
      <border>
        <left/>
        <right/>
        <top/>
        <bottom/>
      </border>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b/>
        <i val="0"/>
        <color rgb="FFFF0000"/>
      </font>
    </dxf>
    <dxf>
      <fill>
        <patternFill patternType="lightUp">
          <fgColor theme="0" tint="-0.24994659260841701"/>
          <bgColor theme="0" tint="-0.14996795556505021"/>
        </patternFill>
      </fill>
    </dxf>
    <dxf>
      <fill>
        <patternFill>
          <bgColor theme="9" tint="0.79998168889431442"/>
        </patternFill>
      </fill>
      <border>
        <left style="thin">
          <color theme="9" tint="0.59996337778862885"/>
        </left>
        <right style="thin">
          <color theme="9" tint="0.59996337778862885"/>
        </right>
        <top style="thin">
          <color theme="9" tint="0.59996337778862885"/>
        </top>
        <bottom style="thin">
          <color theme="9" tint="0.59996337778862885"/>
        </bottom>
        <vertical/>
        <horizontal/>
      </border>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14996795556505021"/>
          <bgColor theme="0" tint="-0.14996795556505021"/>
        </patternFill>
      </fill>
    </dxf>
    <dxf>
      <fill>
        <patternFill patternType="lightUp">
          <fgColor theme="0" tint="-0.24994659260841701"/>
          <bgColor theme="0" tint="-0.14996795556505021"/>
        </patternFill>
      </fill>
    </dxf>
    <dxf>
      <fill>
        <patternFill>
          <bgColor theme="6" tint="0.59996337778862885"/>
        </patternFill>
      </fill>
    </dxf>
    <dxf>
      <font>
        <b/>
        <i val="0"/>
      </font>
      <fill>
        <patternFill>
          <bgColor theme="6" tint="0.59996337778862885"/>
        </patternFill>
      </fill>
      <border>
        <left/>
        <right/>
        <top/>
        <bottom/>
      </border>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dxf>
    <dxf>
      <font>
        <color theme="0"/>
      </font>
      <fill>
        <patternFill patternType="none">
          <bgColor auto="1"/>
        </patternFill>
      </fill>
    </dxf>
    <dxf>
      <fill>
        <patternFill>
          <bgColor rgb="FFF0F5E7"/>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34998626667073579"/>
          <bgColor theme="0" tint="-0.14993743705557422"/>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b/>
        <i val="0"/>
      </font>
      <fill>
        <patternFill>
          <bgColor theme="9" tint="0.79998168889431442"/>
        </patternFill>
      </fill>
      <border>
        <left/>
        <right style="thin">
          <color theme="9" tint="0.39994506668294322"/>
        </right>
        <top style="thin">
          <color theme="9" tint="0.39994506668294322"/>
        </top>
        <bottom style="thin">
          <color theme="9" tint="0.39994506668294322"/>
        </bottom>
      </border>
    </dxf>
    <dxf>
      <fill>
        <patternFill>
          <bgColor theme="9" tint="0.79998168889431442"/>
        </patternFill>
      </fill>
      <border>
        <left style="thin">
          <color theme="9" tint="0.39994506668294322"/>
        </left>
        <right/>
        <top style="thin">
          <color theme="9" tint="0.39994506668294322"/>
        </top>
        <bottom style="thin">
          <color theme="9" tint="0.39994506668294322"/>
        </bottom>
        <vertical/>
        <horizontal/>
      </border>
    </dxf>
    <dxf>
      <font>
        <b/>
        <i val="0"/>
        <color theme="0"/>
      </font>
      <fill>
        <patternFill>
          <bgColor theme="5" tint="-0.24994659260841701"/>
        </patternFill>
      </fill>
      <border>
        <left/>
        <right/>
        <top/>
        <bottom/>
      </border>
    </dxf>
    <dxf>
      <font>
        <b/>
        <i val="0"/>
        <u val="none"/>
        <color auto="1"/>
      </font>
    </dxf>
    <dxf>
      <font>
        <b/>
        <i val="0"/>
        <strike val="0"/>
        <u val="none"/>
        <color auto="1"/>
      </font>
      <fill>
        <patternFill patternType="none">
          <fgColor auto="1"/>
          <bgColor auto="1"/>
        </patternFill>
      </fill>
    </dxf>
  </dxfs>
  <tableStyles count="0" defaultTableStyle="TableStyleMedium9" defaultPivotStyle="PivotStyleLight16"/>
  <colors>
    <mruColors>
      <color rgb="FF69747A"/>
      <color rgb="FFFFFFCC"/>
      <color rgb="FF248EC2"/>
      <color rgb="FF9CACB9"/>
      <color rgb="FF00305E"/>
      <color rgb="FFA6CE43"/>
      <color rgb="FF77BF42"/>
      <color rgb="FF6B95C7"/>
      <color rgb="FF4A7EBB"/>
      <color rgb="FF86AA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B$9" lockText="1"/>
</file>

<file path=xl/ctrlProps/ctrlProp10.xml><?xml version="1.0" encoding="utf-8"?>
<formControlPr xmlns="http://schemas.microsoft.com/office/spreadsheetml/2009/9/main" objectType="CheckBox" fmlaLink="$B$87" lockText="1" noThreeD="1"/>
</file>

<file path=xl/ctrlProps/ctrlProp11.xml><?xml version="1.0" encoding="utf-8"?>
<formControlPr xmlns="http://schemas.microsoft.com/office/spreadsheetml/2009/9/main" objectType="CheckBox" fmlaLink="$B$90" lockText="1" noThreeD="1"/>
</file>

<file path=xl/ctrlProps/ctrlProp12.xml><?xml version="1.0" encoding="utf-8"?>
<formControlPr xmlns="http://schemas.microsoft.com/office/spreadsheetml/2009/9/main" objectType="CheckBox" fmlaLink="$B$91" lockText="1" noThreeD="1"/>
</file>

<file path=xl/ctrlProps/ctrlProp13.xml><?xml version="1.0" encoding="utf-8"?>
<formControlPr xmlns="http://schemas.microsoft.com/office/spreadsheetml/2009/9/main" objectType="Radio" firstButton="1" fmlaLink="$B$525"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firstButton="1" fmlaLink="$B$527"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B$532" lockText="1" noThreeD="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fmlaLink="$B$534" lockText="1" noThreeD="1"/>
</file>

<file path=xl/ctrlProps/ctrlProp23.xml><?xml version="1.0" encoding="utf-8"?>
<formControlPr xmlns="http://schemas.microsoft.com/office/spreadsheetml/2009/9/main" objectType="CheckBox" fmlaLink="$B$535" lockText="1" noThreeD="1"/>
</file>

<file path=xl/ctrlProps/ctrlProp24.xml><?xml version="1.0" encoding="utf-8"?>
<formControlPr xmlns="http://schemas.microsoft.com/office/spreadsheetml/2009/9/main" objectType="Radio" firstButton="1" fmlaLink="$B$536"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B$85"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CheckBox" fmlaLink="$B$85" lockText="1" noThreeD="1"/>
</file>

<file path=xl/ctrlProps/ctrlProp37.xml><?xml version="1.0" encoding="utf-8"?>
<formControlPr xmlns="http://schemas.microsoft.com/office/spreadsheetml/2009/9/main" objectType="CheckBox" fmlaLink="$B$88" lockText="1" noThreeD="1"/>
</file>

<file path=xl/ctrlProps/ctrlProp38.xml><?xml version="1.0" encoding="utf-8"?>
<formControlPr xmlns="http://schemas.microsoft.com/office/spreadsheetml/2009/9/main" objectType="CheckBox" fmlaLink="$B$89" lockText="1" noThreeD="1"/>
</file>

<file path=xl/ctrlProps/ctrlProp39.xml><?xml version="1.0" encoding="utf-8"?>
<formControlPr xmlns="http://schemas.microsoft.com/office/spreadsheetml/2009/9/main" objectType="CheckBox" fmlaLink="$B$92" lockText="1" noThreeD="1"/>
</file>

<file path=xl/ctrlProps/ctrlProp4.xml><?xml version="1.0" encoding="utf-8"?>
<formControlPr xmlns="http://schemas.microsoft.com/office/spreadsheetml/2009/9/main" objectType="CheckBox" fmlaLink="$B$88" lockText="1" noThreeD="1"/>
</file>

<file path=xl/ctrlProps/ctrlProp40.xml><?xml version="1.0" encoding="utf-8"?>
<formControlPr xmlns="http://schemas.microsoft.com/office/spreadsheetml/2009/9/main" objectType="CheckBox" fmlaLink="$B$93" lockText="1" noThreeD="1"/>
</file>

<file path=xl/ctrlProps/ctrlProp41.xml><?xml version="1.0" encoding="utf-8"?>
<formControlPr xmlns="http://schemas.microsoft.com/office/spreadsheetml/2009/9/main" objectType="CheckBox" fmlaLink="$B$94" lockText="1" noThreeD="1"/>
</file>

<file path=xl/ctrlProps/ctrlProp42.xml><?xml version="1.0" encoding="utf-8"?>
<formControlPr xmlns="http://schemas.microsoft.com/office/spreadsheetml/2009/9/main" objectType="CheckBox" fmlaLink="$B$86" lockText="1" noThreeD="1"/>
</file>

<file path=xl/ctrlProps/ctrlProp43.xml><?xml version="1.0" encoding="utf-8"?>
<formControlPr xmlns="http://schemas.microsoft.com/office/spreadsheetml/2009/9/main" objectType="CheckBox" fmlaLink="$B$87" lockText="1" noThreeD="1"/>
</file>

<file path=xl/ctrlProps/ctrlProp44.xml><?xml version="1.0" encoding="utf-8"?>
<formControlPr xmlns="http://schemas.microsoft.com/office/spreadsheetml/2009/9/main" objectType="CheckBox" fmlaLink="$B$90" lockText="1" noThreeD="1"/>
</file>

<file path=xl/ctrlProps/ctrlProp45.xml><?xml version="1.0" encoding="utf-8"?>
<formControlPr xmlns="http://schemas.microsoft.com/office/spreadsheetml/2009/9/main" objectType="CheckBox" fmlaLink="$B$91" lockText="1" noThreeD="1"/>
</file>

<file path=xl/ctrlProps/ctrlProp46.xml><?xml version="1.0" encoding="utf-8"?>
<formControlPr xmlns="http://schemas.microsoft.com/office/spreadsheetml/2009/9/main" objectType="Radio" firstButton="1" fmlaLink="$B$52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firstButton="1" fmlaLink="$B$523" lockText="1" noThreeD="1"/>
</file>

<file path=xl/ctrlProps/ctrlProp5.xml><?xml version="1.0" encoding="utf-8"?>
<formControlPr xmlns="http://schemas.microsoft.com/office/spreadsheetml/2009/9/main" objectType="CheckBox" fmlaLink="$B$89"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firstButton="1" fmlaLink="$B$528"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CheckBox" fmlaLink="$B$530" lockText="1" noThreeD="1"/>
</file>

<file path=xl/ctrlProps/ctrlProp56.xml><?xml version="1.0" encoding="utf-8"?>
<formControlPr xmlns="http://schemas.microsoft.com/office/spreadsheetml/2009/9/main" objectType="CheckBox" fmlaLink="$B$531" lockText="1" noThreeD="1"/>
</file>

<file path=xl/ctrlProps/ctrlProp57.xml><?xml version="1.0" encoding="utf-8"?>
<formControlPr xmlns="http://schemas.microsoft.com/office/spreadsheetml/2009/9/main" objectType="Radio" firstButton="1" fmlaLink="$B$532"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fmlaLink="$B$92"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fmlaLink="$B$93" lockText="1" noThreeD="1"/>
</file>

<file path=xl/ctrlProps/ctrlProp8.xml><?xml version="1.0" encoding="utf-8"?>
<formControlPr xmlns="http://schemas.microsoft.com/office/spreadsheetml/2009/9/main" objectType="CheckBox" fmlaLink="$B$94" lockText="1" noThreeD="1"/>
</file>

<file path=xl/ctrlProps/ctrlProp9.xml><?xml version="1.0" encoding="utf-8"?>
<formControlPr xmlns="http://schemas.microsoft.com/office/spreadsheetml/2009/9/main" objectType="CheckBox" fmlaLink="$B$86"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RGET_WELCOME_TOP"/></Relationships>
</file>

<file path=xl/drawings/_rels/drawing2.xml.rels><?xml version="1.0" encoding="UTF-8" standalone="yes"?>
<Relationships xmlns="http://schemas.openxmlformats.org/package/2006/relationships"><Relationship Id="rId8" Type="http://schemas.openxmlformats.org/officeDocument/2006/relationships/hyperlink" Target="#TARGET_RENTAL_3_START"/><Relationship Id="rId13" Type="http://schemas.openxmlformats.org/officeDocument/2006/relationships/hyperlink" Target="#TARGET_RENTAL_8_START"/><Relationship Id="rId18" Type="http://schemas.openxmlformats.org/officeDocument/2006/relationships/hyperlink" Target="#TARGET_RENTAL_11_START"/><Relationship Id="rId26" Type="http://schemas.openxmlformats.org/officeDocument/2006/relationships/hyperlink" Target="#TARGET_RENTAL_18_START"/><Relationship Id="rId3" Type="http://schemas.openxmlformats.org/officeDocument/2006/relationships/hyperlink" Target="#TARGET_RENTAL_21_START"/><Relationship Id="rId21" Type="http://schemas.openxmlformats.org/officeDocument/2006/relationships/hyperlink" Target="#TARGET_RENTAL_10_START"/><Relationship Id="rId7" Type="http://schemas.openxmlformats.org/officeDocument/2006/relationships/hyperlink" Target="#TARGET_RENTAL_2_START"/><Relationship Id="rId12" Type="http://schemas.openxmlformats.org/officeDocument/2006/relationships/hyperlink" Target="#TARGET_RENTAL_7_START"/><Relationship Id="rId17" Type="http://schemas.openxmlformats.org/officeDocument/2006/relationships/image" Target="../media/image1.png"/><Relationship Id="rId25" Type="http://schemas.openxmlformats.org/officeDocument/2006/relationships/hyperlink" Target="https://www.ecfr.gov/cgi-bin/retrieveECFR?gp=&amp;SID=418f5103aa2d4c91717b8642080e9f2f&amp;mc=true&amp;n=pt12.10.1227&amp;r=PART&amp;ty=HTML" TargetMode="External"/><Relationship Id="rId2" Type="http://schemas.openxmlformats.org/officeDocument/2006/relationships/hyperlink" Target="#TARGET_RENTAL_20_START"/><Relationship Id="rId16" Type="http://schemas.openxmlformats.org/officeDocument/2006/relationships/hyperlink" Target="#TARGET_RENTAL_TOP"/><Relationship Id="rId20" Type="http://schemas.openxmlformats.org/officeDocument/2006/relationships/hyperlink" Target="#TARGET_RENTAL_16_START"/><Relationship Id="rId1" Type="http://schemas.openxmlformats.org/officeDocument/2006/relationships/hyperlink" Target="#TARGET_RENTAL_19_START"/><Relationship Id="rId6" Type="http://schemas.openxmlformats.org/officeDocument/2006/relationships/hyperlink" Target="#TARGET_RENTAL_1_START"/><Relationship Id="rId11" Type="http://schemas.openxmlformats.org/officeDocument/2006/relationships/hyperlink" Target="#TARGET_RENTAL_6_START"/><Relationship Id="rId24" Type="http://schemas.openxmlformats.org/officeDocument/2006/relationships/hyperlink" Target="http://www.fhlbsf.com/community/docs/imp-plan.pdf" TargetMode="External"/><Relationship Id="rId5" Type="http://schemas.openxmlformats.org/officeDocument/2006/relationships/hyperlink" Target="#TARGET_RENTAL_13_START"/><Relationship Id="rId15" Type="http://schemas.openxmlformats.org/officeDocument/2006/relationships/hyperlink" Target="#TARGET_RENTAL_12_START"/><Relationship Id="rId23" Type="http://schemas.openxmlformats.org/officeDocument/2006/relationships/hyperlink" Target="#TARGET_RENTAL_15_START"/><Relationship Id="rId28" Type="http://schemas.openxmlformats.org/officeDocument/2006/relationships/hyperlink" Target="#TARGET_RENTAL_23_START"/><Relationship Id="rId10" Type="http://schemas.openxmlformats.org/officeDocument/2006/relationships/hyperlink" Target="#TARGET_RENTAL_5_START"/><Relationship Id="rId19" Type="http://schemas.openxmlformats.org/officeDocument/2006/relationships/hyperlink" Target="#TARGET_RENTAL_14_START"/><Relationship Id="rId4" Type="http://schemas.openxmlformats.org/officeDocument/2006/relationships/hyperlink" Target="#TARGET_RENTAL_17_START"/><Relationship Id="rId9" Type="http://schemas.openxmlformats.org/officeDocument/2006/relationships/hyperlink" Target="#TARGET_RENTAL_4_START"/><Relationship Id="rId14" Type="http://schemas.openxmlformats.org/officeDocument/2006/relationships/hyperlink" Target="#TARGET_RENTAL_9_START"/><Relationship Id="rId22" Type="http://schemas.openxmlformats.org/officeDocument/2006/relationships/hyperlink" Target="#TARGET_RENTAL_PROJ_DESCRIPTION"/><Relationship Id="rId27" Type="http://schemas.openxmlformats.org/officeDocument/2006/relationships/hyperlink" Target="#TARGET_RENTAL_22_START"/></Relationships>
</file>

<file path=xl/drawings/_rels/drawing3.xml.rels><?xml version="1.0" encoding="UTF-8" standalone="yes"?>
<Relationships xmlns="http://schemas.openxmlformats.org/package/2006/relationships"><Relationship Id="rId8" Type="http://schemas.openxmlformats.org/officeDocument/2006/relationships/hyperlink" Target="#TARGET_OWNER_2_START"/><Relationship Id="rId13" Type="http://schemas.openxmlformats.org/officeDocument/2006/relationships/hyperlink" Target="#TARGET_OWNER_7_START"/><Relationship Id="rId18" Type="http://schemas.openxmlformats.org/officeDocument/2006/relationships/hyperlink" Target="#TARGET_OWNER_TOP"/><Relationship Id="rId26" Type="http://schemas.openxmlformats.org/officeDocument/2006/relationships/hyperlink" Target="#TARGET_OWNER_19_START"/><Relationship Id="rId3" Type="http://schemas.openxmlformats.org/officeDocument/2006/relationships/hyperlink" Target="#TARGET_OWNER_21_START"/><Relationship Id="rId21" Type="http://schemas.openxmlformats.org/officeDocument/2006/relationships/hyperlink" Target="#TARGET_OWNER_18_START"/><Relationship Id="rId7" Type="http://schemas.openxmlformats.org/officeDocument/2006/relationships/hyperlink" Target="#TARGET_OWNER_1_START"/><Relationship Id="rId12" Type="http://schemas.openxmlformats.org/officeDocument/2006/relationships/hyperlink" Target="#TARGET_OWNER_6_START"/><Relationship Id="rId17" Type="http://schemas.openxmlformats.org/officeDocument/2006/relationships/hyperlink" Target="#TARGET_OWNER_12_START"/><Relationship Id="rId25" Type="http://schemas.openxmlformats.org/officeDocument/2006/relationships/hyperlink" Target="https://www.ecfr.gov/cgi-bin/retrieveECFR?gp=&amp;SID=418f5103aa2d4c91717b8642080e9f2f&amp;mc=true&amp;n=pt12.10.1227&amp;r=PART&amp;ty=HTML" TargetMode="External"/><Relationship Id="rId2" Type="http://schemas.openxmlformats.org/officeDocument/2006/relationships/hyperlink" Target="#TARGET_OWNER_20_START"/><Relationship Id="rId16" Type="http://schemas.openxmlformats.org/officeDocument/2006/relationships/hyperlink" Target="#TARGET_OWNER_10_START"/><Relationship Id="rId20" Type="http://schemas.openxmlformats.org/officeDocument/2006/relationships/hyperlink" Target="#TARGET_OWNER_11_START"/><Relationship Id="rId1" Type="http://schemas.openxmlformats.org/officeDocument/2006/relationships/hyperlink" Target="#TARGET_OWNER_17_START"/><Relationship Id="rId6" Type="http://schemas.openxmlformats.org/officeDocument/2006/relationships/hyperlink" Target="#TARGET_OWNER_13_START"/><Relationship Id="rId11" Type="http://schemas.openxmlformats.org/officeDocument/2006/relationships/hyperlink" Target="#TARGET_OWNER_5_START"/><Relationship Id="rId24" Type="http://schemas.openxmlformats.org/officeDocument/2006/relationships/hyperlink" Target="#TARGET_OWNER_15_START"/><Relationship Id="rId5" Type="http://schemas.openxmlformats.org/officeDocument/2006/relationships/hyperlink" Target="#TARGET_OWNER_22_START"/><Relationship Id="rId15" Type="http://schemas.openxmlformats.org/officeDocument/2006/relationships/hyperlink" Target="#TARGET_OWNER_9_START"/><Relationship Id="rId23" Type="http://schemas.openxmlformats.org/officeDocument/2006/relationships/hyperlink" Target="#TARGET_OWNER_PROJ_DESCRIPTION"/><Relationship Id="rId28" Type="http://schemas.openxmlformats.org/officeDocument/2006/relationships/hyperlink" Target="#TARGET_OWNER_24_START"/><Relationship Id="rId10" Type="http://schemas.openxmlformats.org/officeDocument/2006/relationships/hyperlink" Target="#TARGET_OWNER_4_START"/><Relationship Id="rId19" Type="http://schemas.openxmlformats.org/officeDocument/2006/relationships/image" Target="../media/image1.png"/><Relationship Id="rId4" Type="http://schemas.openxmlformats.org/officeDocument/2006/relationships/hyperlink" Target="#TARGET_OWNER_16_START"/><Relationship Id="rId9" Type="http://schemas.openxmlformats.org/officeDocument/2006/relationships/hyperlink" Target="#TARGET_OWNER_3_START"/><Relationship Id="rId14" Type="http://schemas.openxmlformats.org/officeDocument/2006/relationships/hyperlink" Target="#TARGET_OWNER_8_START"/><Relationship Id="rId22" Type="http://schemas.openxmlformats.org/officeDocument/2006/relationships/hyperlink" Target="#TARGET_OWNER_14_START"/><Relationship Id="rId27" Type="http://schemas.openxmlformats.org/officeDocument/2006/relationships/hyperlink" Target="#TARGET_OWNER_23_START"/></Relationships>
</file>

<file path=xl/drawings/_rels/drawing4.xml.rels><?xml version="1.0" encoding="UTF-8" standalone="yes"?>
<Relationships xmlns="http://schemas.openxmlformats.org/package/2006/relationships"><Relationship Id="rId2" Type="http://schemas.openxmlformats.org/officeDocument/2006/relationships/hyperlink" Target="#TARGET_CONFIG_TO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9525</xdr:colOff>
      <xdr:row>13</xdr:row>
      <xdr:rowOff>0</xdr:rowOff>
    </xdr:from>
    <xdr:to>
      <xdr:col>11</xdr:col>
      <xdr:colOff>160401</xdr:colOff>
      <xdr:row>13</xdr:row>
      <xdr:rowOff>272796</xdr:rowOff>
    </xdr:to>
    <xdr:sp macro="" textlink="">
      <xdr:nvSpPr>
        <xdr:cNvPr id="11" name="FOOTER_BG">
          <a:extLst>
            <a:ext uri="{FF2B5EF4-FFF2-40B4-BE49-F238E27FC236}">
              <a16:creationId xmlns:a16="http://schemas.microsoft.com/office/drawing/2014/main" id="{00000000-0008-0000-0000-00000B000000}"/>
            </a:ext>
          </a:extLst>
        </xdr:cNvPr>
        <xdr:cNvSpPr/>
      </xdr:nvSpPr>
      <xdr:spPr>
        <a:xfrm>
          <a:off x="9544050" y="5941848"/>
          <a:ext cx="8494776" cy="303123"/>
        </a:xfrm>
        <a:prstGeom prst="rect">
          <a:avLst/>
        </a:prstGeom>
        <a:solidFill>
          <a:srgbClr val="69747A"/>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r"/>
          <a:r>
            <a:rPr lang="en-US" sz="900" b="1">
              <a:latin typeface="Arial" pitchFamily="34" charset="0"/>
              <a:cs typeface="Arial" pitchFamily="34" charset="0"/>
            </a:rPr>
            <a:t>Affordable Housing Program Application</a:t>
          </a:r>
        </a:p>
      </xdr:txBody>
    </xdr:sp>
    <xdr:clientData fPrintsWithSheet="0"/>
  </xdr:twoCellAnchor>
  <xdr:oneCellAnchor>
    <xdr:from>
      <xdr:col>8</xdr:col>
      <xdr:colOff>1076325</xdr:colOff>
      <xdr:row>3</xdr:row>
      <xdr:rowOff>933450</xdr:rowOff>
    </xdr:from>
    <xdr:ext cx="184731" cy="264560"/>
    <xdr:sp macro="" textlink="">
      <xdr:nvSpPr>
        <xdr:cNvPr id="38" name="TextBox 37">
          <a:extLst>
            <a:ext uri="{FF2B5EF4-FFF2-40B4-BE49-F238E27FC236}">
              <a16:creationId xmlns:a16="http://schemas.microsoft.com/office/drawing/2014/main" id="{00000000-0008-0000-0000-000026000000}"/>
            </a:ext>
          </a:extLst>
        </xdr:cNvPr>
        <xdr:cNvSpPr txBox="1"/>
      </xdr:nvSpPr>
      <xdr:spPr>
        <a:xfrm>
          <a:off x="3943350"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latin typeface="Arial" pitchFamily="34" charset="0"/>
            <a:cs typeface="Arial" pitchFamily="34" charset="0"/>
          </a:endParaRPr>
        </a:p>
      </xdr:txBody>
    </xdr:sp>
    <xdr:clientData/>
  </xdr:oneCellAnchor>
  <xdr:twoCellAnchor editAs="absolute">
    <xdr:from>
      <xdr:col>10</xdr:col>
      <xdr:colOff>1728807</xdr:colOff>
      <xdr:row>10</xdr:row>
      <xdr:rowOff>784363</xdr:rowOff>
    </xdr:from>
    <xdr:to>
      <xdr:col>10</xdr:col>
      <xdr:colOff>1728807</xdr:colOff>
      <xdr:row>11</xdr:row>
      <xdr:rowOff>184288</xdr:rowOff>
    </xdr:to>
    <xdr:sp macro="" textlink="">
      <xdr:nvSpPr>
        <xdr:cNvPr id="43" name="COVER_CELLS_01">
          <a:extLst>
            <a:ext uri="{FF2B5EF4-FFF2-40B4-BE49-F238E27FC236}">
              <a16:creationId xmlns:a16="http://schemas.microsoft.com/office/drawing/2014/main" id="{00000000-0008-0000-0000-00002B000000}"/>
            </a:ext>
          </a:extLst>
        </xdr:cNvPr>
        <xdr:cNvSpPr/>
      </xdr:nvSpPr>
      <xdr:spPr>
        <a:xfrm>
          <a:off x="11068049" y="3590925"/>
          <a:ext cx="142875" cy="600075"/>
        </a:xfrm>
        <a:prstGeom prst="rect">
          <a:avLst/>
        </a:prstGeom>
        <a:solidFill>
          <a:srgbClr val="FFFFFF">
            <a:alpha val="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latin typeface="Arial" pitchFamily="34" charset="0"/>
            <a:cs typeface="Arial" pitchFamily="34" charset="0"/>
          </a:endParaRPr>
        </a:p>
      </xdr:txBody>
    </xdr:sp>
    <xdr:clientData fPrintsWithSheet="0"/>
  </xdr:twoCellAnchor>
  <xdr:twoCellAnchor editAs="oneCell">
    <xdr:from>
      <xdr:col>7</xdr:col>
      <xdr:colOff>56549</xdr:colOff>
      <xdr:row>0</xdr:row>
      <xdr:rowOff>55794</xdr:rowOff>
    </xdr:from>
    <xdr:to>
      <xdr:col>8</xdr:col>
      <xdr:colOff>997940</xdr:colOff>
      <xdr:row>2</xdr:row>
      <xdr:rowOff>29881</xdr:rowOff>
    </xdr:to>
    <xdr:pic>
      <xdr:nvPicPr>
        <xdr:cNvPr id="40" name="WELCOME_HEADER_IMG">
          <a:hlinkClick xmlns:r="http://schemas.openxmlformats.org/officeDocument/2006/relationships" r:id="rId1"/>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9591074" y="55794"/>
          <a:ext cx="1103316" cy="469387"/>
        </a:xfrm>
        <a:prstGeom prst="rect">
          <a:avLst/>
        </a:prstGeom>
      </xdr:spPr>
    </xdr:pic>
    <xdr:clientData/>
  </xdr:twoCellAnchor>
  <xdr:twoCellAnchor>
    <xdr:from>
      <xdr:col>7</xdr:col>
      <xdr:colOff>38099</xdr:colOff>
      <xdr:row>2</xdr:row>
      <xdr:rowOff>75930</xdr:rowOff>
    </xdr:from>
    <xdr:to>
      <xdr:col>11</xdr:col>
      <xdr:colOff>152400</xdr:colOff>
      <xdr:row>3</xdr:row>
      <xdr:rowOff>161502</xdr:rowOff>
    </xdr:to>
    <xdr:sp macro="" textlink="">
      <xdr:nvSpPr>
        <xdr:cNvPr id="29" name="HEADER_RECT_01">
          <a:extLst>
            <a:ext uri="{FF2B5EF4-FFF2-40B4-BE49-F238E27FC236}">
              <a16:creationId xmlns:a16="http://schemas.microsoft.com/office/drawing/2014/main" id="{00000000-0008-0000-0000-00001D000000}"/>
            </a:ext>
          </a:extLst>
        </xdr:cNvPr>
        <xdr:cNvSpPr/>
      </xdr:nvSpPr>
      <xdr:spPr>
        <a:xfrm>
          <a:off x="1685924" y="571230"/>
          <a:ext cx="8458201" cy="266547"/>
        </a:xfrm>
        <a:prstGeom prst="rect">
          <a:avLst/>
        </a:prstGeom>
        <a:solidFill>
          <a:srgbClr val="69747A"/>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en-US" sz="1100">
            <a:latin typeface="Arial" pitchFamily="34" charset="0"/>
            <a:cs typeface="Arial" pitchFamily="34" charset="0"/>
          </a:endParaRPr>
        </a:p>
      </xdr:txBody>
    </xdr:sp>
    <xdr:clientData/>
  </xdr:twoCellAnchor>
  <xdr:twoCellAnchor>
    <xdr:from>
      <xdr:col>7</xdr:col>
      <xdr:colOff>38101</xdr:colOff>
      <xdr:row>2</xdr:row>
      <xdr:rowOff>80384</xdr:rowOff>
    </xdr:from>
    <xdr:to>
      <xdr:col>11</xdr:col>
      <xdr:colOff>142875</xdr:colOff>
      <xdr:row>3</xdr:row>
      <xdr:rowOff>202080</xdr:rowOff>
    </xdr:to>
    <xdr:sp macro="" textlink="">
      <xdr:nvSpPr>
        <xdr:cNvPr id="45" name="HEADER_TEXT">
          <a:extLst>
            <a:ext uri="{FF2B5EF4-FFF2-40B4-BE49-F238E27FC236}">
              <a16:creationId xmlns:a16="http://schemas.microsoft.com/office/drawing/2014/main" id="{00000000-0008-0000-0000-00002D000000}"/>
            </a:ext>
          </a:extLst>
        </xdr:cNvPr>
        <xdr:cNvSpPr txBox="1"/>
      </xdr:nvSpPr>
      <xdr:spPr>
        <a:xfrm>
          <a:off x="1687552" y="577543"/>
          <a:ext cx="8444957" cy="3029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lang="en-US" sz="1200" b="1" i="0" u="none" strike="noStrike">
              <a:solidFill>
                <a:schemeClr val="bg1"/>
              </a:solidFill>
              <a:latin typeface="Arial" pitchFamily="34" charset="0"/>
              <a:cs typeface="Arial" pitchFamily="34" charset="0"/>
            </a:rPr>
            <a:t>Affordable Housing Program (AHP) Application</a:t>
          </a:r>
        </a:p>
      </xdr:txBody>
    </xdr:sp>
    <xdr:clientData/>
  </xdr:twoCellAnchor>
  <xdr:twoCellAnchor>
    <xdr:from>
      <xdr:col>7</xdr:col>
      <xdr:colOff>35721</xdr:colOff>
      <xdr:row>3</xdr:row>
      <xdr:rowOff>212328</xdr:rowOff>
    </xdr:from>
    <xdr:to>
      <xdr:col>11</xdr:col>
      <xdr:colOff>140880</xdr:colOff>
      <xdr:row>3</xdr:row>
      <xdr:rowOff>212328</xdr:rowOff>
    </xdr:to>
    <xdr:cxnSp macro="">
      <xdr:nvCxnSpPr>
        <xdr:cNvPr id="22" name="HEADER_RECT_03">
          <a:extLst>
            <a:ext uri="{FF2B5EF4-FFF2-40B4-BE49-F238E27FC236}">
              <a16:creationId xmlns:a16="http://schemas.microsoft.com/office/drawing/2014/main" id="{00000000-0008-0000-0000-000016000000}"/>
            </a:ext>
          </a:extLst>
        </xdr:cNvPr>
        <xdr:cNvCxnSpPr/>
      </xdr:nvCxnSpPr>
      <xdr:spPr>
        <a:xfrm>
          <a:off x="1683546" y="888603"/>
          <a:ext cx="8449059" cy="0"/>
        </a:xfrm>
        <a:prstGeom prst="line">
          <a:avLst/>
        </a:prstGeom>
        <a:ln w="22225">
          <a:solidFill>
            <a:srgbClr val="69747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35721</xdr:colOff>
      <xdr:row>3</xdr:row>
      <xdr:rowOff>181478</xdr:rowOff>
    </xdr:from>
    <xdr:to>
      <xdr:col>11</xdr:col>
      <xdr:colOff>140880</xdr:colOff>
      <xdr:row>3</xdr:row>
      <xdr:rowOff>181478</xdr:rowOff>
    </xdr:to>
    <xdr:cxnSp macro="">
      <xdr:nvCxnSpPr>
        <xdr:cNvPr id="23" name="HEADER_RECT_02">
          <a:extLst>
            <a:ext uri="{FF2B5EF4-FFF2-40B4-BE49-F238E27FC236}">
              <a16:creationId xmlns:a16="http://schemas.microsoft.com/office/drawing/2014/main" id="{00000000-0008-0000-0000-000017000000}"/>
            </a:ext>
          </a:extLst>
        </xdr:cNvPr>
        <xdr:cNvCxnSpPr/>
      </xdr:nvCxnSpPr>
      <xdr:spPr>
        <a:xfrm>
          <a:off x="1683546" y="857753"/>
          <a:ext cx="8449059" cy="0"/>
        </a:xfrm>
        <a:prstGeom prst="line">
          <a:avLst/>
        </a:prstGeom>
        <a:ln w="22225">
          <a:solidFill>
            <a:srgbClr val="69747A"/>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9</xdr:col>
          <xdr:colOff>9525</xdr:colOff>
          <xdr:row>7</xdr:row>
          <xdr:rowOff>0</xdr:rowOff>
        </xdr:from>
        <xdr:to>
          <xdr:col>9</xdr:col>
          <xdr:colOff>2905125</xdr:colOff>
          <xdr:row>8</xdr:row>
          <xdr:rowOff>19050</xdr:rowOff>
        </xdr:to>
        <xdr:sp macro="" textlink="">
          <xdr:nvSpPr>
            <xdr:cNvPr id="9220" name="APP_TYPE_RENTAL"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8</xdr:row>
          <xdr:rowOff>19050</xdr:rowOff>
        </xdr:from>
        <xdr:to>
          <xdr:col>9</xdr:col>
          <xdr:colOff>2905125</xdr:colOff>
          <xdr:row>8</xdr:row>
          <xdr:rowOff>238125</xdr:rowOff>
        </xdr:to>
        <xdr:sp macro="" textlink="">
          <xdr:nvSpPr>
            <xdr:cNvPr id="9221" name="APP_TYPE_OWNER"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66675</xdr:colOff>
      <xdr:row>648</xdr:row>
      <xdr:rowOff>247647</xdr:rowOff>
    </xdr:from>
    <xdr:to>
      <xdr:col>24</xdr:col>
      <xdr:colOff>104774</xdr:colOff>
      <xdr:row>657</xdr:row>
      <xdr:rowOff>76197</xdr:rowOff>
    </xdr:to>
    <xdr:grpSp>
      <xdr:nvGrpSpPr>
        <xdr:cNvPr id="407" name="SECTION_GROUP">
          <a:extLst>
            <a:ext uri="{FF2B5EF4-FFF2-40B4-BE49-F238E27FC236}">
              <a16:creationId xmlns:a16="http://schemas.microsoft.com/office/drawing/2014/main" id="{00000000-0008-0000-0100-000097010000}"/>
            </a:ext>
          </a:extLst>
        </xdr:cNvPr>
        <xdr:cNvGrpSpPr/>
      </xdr:nvGrpSpPr>
      <xdr:grpSpPr>
        <a:xfrm>
          <a:off x="66675" y="200425047"/>
          <a:ext cx="7362824" cy="2314575"/>
          <a:chOff x="9363075" y="17306808"/>
          <a:chExt cx="7362825" cy="2491466"/>
        </a:xfrm>
      </xdr:grpSpPr>
      <xdr:sp macro="" textlink="$B$450">
        <xdr:nvSpPr>
          <xdr:cNvPr id="424" name="SECTION_GROUP_TITLE">
            <a:extLst>
              <a:ext uri="{FF2B5EF4-FFF2-40B4-BE49-F238E27FC236}">
                <a16:creationId xmlns:a16="http://schemas.microsoft.com/office/drawing/2014/main" id="{00000000-0008-0000-0100-0000A8010000}"/>
              </a:ext>
            </a:extLst>
          </xdr:cNvPr>
          <xdr:cNvSpPr/>
        </xdr:nvSpPr>
        <xdr:spPr>
          <a:xfrm>
            <a:off x="9363075" y="17306808"/>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CDB5CB33-EB2C-485C-A7EE-702D27DA6629}" type="TxLink">
              <a:rPr lang="en-US" sz="1000" b="1" i="0" u="none" strike="noStrike">
                <a:solidFill>
                  <a:srgbClr val="FFFFFF"/>
                </a:solidFill>
                <a:latin typeface="Arial" pitchFamily="34" charset="0"/>
                <a:cs typeface="Arial" pitchFamily="34" charset="0"/>
              </a:rPr>
              <a:pPr algn="l"/>
              <a:t>Housing in Rural Areas (Maximum Points: 5)</a:t>
            </a:fld>
            <a:endParaRPr lang="en-US" sz="1000" b="1" i="0" u="none" strike="noStrike">
              <a:solidFill>
                <a:schemeClr val="bg1"/>
              </a:solidFill>
              <a:latin typeface="Arial" pitchFamily="34" charset="0"/>
              <a:cs typeface="Arial" pitchFamily="34" charset="0"/>
            </a:endParaRPr>
          </a:p>
        </xdr:txBody>
      </xdr:sp>
      <xdr:sp macro="" textlink="">
        <xdr:nvSpPr>
          <xdr:cNvPr id="426" name="SECTION_GROUP_FRAME">
            <a:extLst>
              <a:ext uri="{FF2B5EF4-FFF2-40B4-BE49-F238E27FC236}">
                <a16:creationId xmlns:a16="http://schemas.microsoft.com/office/drawing/2014/main" id="{00000000-0008-0000-0100-0000AA010000}"/>
              </a:ext>
            </a:extLst>
          </xdr:cNvPr>
          <xdr:cNvSpPr/>
        </xdr:nvSpPr>
        <xdr:spPr>
          <a:xfrm>
            <a:off x="9363075" y="17641464"/>
            <a:ext cx="7362825" cy="2156810"/>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458">
        <xdr:nvSpPr>
          <xdr:cNvPr id="431" name="SECTION_GROUP_SUBTITLE">
            <a:extLst>
              <a:ext uri="{FF2B5EF4-FFF2-40B4-BE49-F238E27FC236}">
                <a16:creationId xmlns:a16="http://schemas.microsoft.com/office/drawing/2014/main" id="{00000000-0008-0000-0100-0000AF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ADFD8E92-9B89-427C-BB06-6170B64BD321}" type="TxLink">
              <a:rPr lang="en-US" sz="800" b="0" i="0" u="none" strike="noStrike">
                <a:solidFill>
                  <a:srgbClr val="000000"/>
                </a:solidFill>
                <a:latin typeface="Arial" pitchFamily="34" charset="0"/>
                <a:cs typeface="Arial" pitchFamily="34" charset="0"/>
              </a:rPr>
              <a:pPr algn="r"/>
              <a:t>Not Started</a:t>
            </a:fld>
            <a:endParaRPr lang="en-US" sz="1050" b="0" i="0">
              <a:latin typeface="Arial" pitchFamily="34" charset="0"/>
              <a:cs typeface="Arial" pitchFamily="34" charset="0"/>
            </a:endParaRPr>
          </a:p>
        </xdr:txBody>
      </xdr:sp>
      <xdr:sp macro="" textlink="">
        <xdr:nvSpPr>
          <xdr:cNvPr id="432" name="SECTION_GROUP_SUBTITLE_LABEL">
            <a:extLst>
              <a:ext uri="{FF2B5EF4-FFF2-40B4-BE49-F238E27FC236}">
                <a16:creationId xmlns:a16="http://schemas.microsoft.com/office/drawing/2014/main" id="{00000000-0008-0000-0100-0000B0010000}"/>
              </a:ext>
            </a:extLst>
          </xdr:cNvPr>
          <xdr:cNvSpPr txBox="1"/>
        </xdr:nvSpPr>
        <xdr:spPr>
          <a:xfrm>
            <a:off x="15649576"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oneCellAnchor>
    <xdr:from>
      <xdr:col>16</xdr:col>
      <xdr:colOff>314325</xdr:colOff>
      <xdr:row>21</xdr:row>
      <xdr:rowOff>9525</xdr:rowOff>
    </xdr:from>
    <xdr:ext cx="2181225" cy="264560"/>
    <xdr:sp macro="" textlink="$AC$22">
      <xdr:nvSpPr>
        <xdr:cNvPr id="341" name="TOC_SECTION_LINK">
          <a:hlinkClick xmlns:r="http://schemas.openxmlformats.org/officeDocument/2006/relationships" r:id="rId1"/>
          <a:extLst>
            <a:ext uri="{FF2B5EF4-FFF2-40B4-BE49-F238E27FC236}">
              <a16:creationId xmlns:a16="http://schemas.microsoft.com/office/drawing/2014/main" id="{00000000-0008-0000-0100-000055010000}"/>
            </a:ext>
          </a:extLst>
        </xdr:cNvPr>
        <xdr:cNvSpPr txBox="1"/>
      </xdr:nvSpPr>
      <xdr:spPr>
        <a:xfrm>
          <a:off x="4057650" y="4895850"/>
          <a:ext cx="2181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B6A2EECF-A38E-492D-B13C-98D8AEEDC426}" type="TxLink">
            <a:rPr lang="en-US" sz="900" b="1" i="0" u="sng" strike="noStrike">
              <a:solidFill>
                <a:srgbClr val="366092"/>
              </a:solidFill>
              <a:latin typeface="Arial"/>
              <a:cs typeface="Arial"/>
            </a:rPr>
            <a:pPr algn="l"/>
            <a:t>Project Readiness</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16</xdr:col>
      <xdr:colOff>314325</xdr:colOff>
      <xdr:row>20</xdr:row>
      <xdr:rowOff>9525</xdr:rowOff>
    </xdr:from>
    <xdr:ext cx="2181225" cy="264560"/>
    <xdr:sp macro="" textlink="$AC$21">
      <xdr:nvSpPr>
        <xdr:cNvPr id="434" name="TOC_SECTION_LINK">
          <a:hlinkClick xmlns:r="http://schemas.openxmlformats.org/officeDocument/2006/relationships" r:id="rId2"/>
          <a:extLst>
            <a:ext uri="{FF2B5EF4-FFF2-40B4-BE49-F238E27FC236}">
              <a16:creationId xmlns:a16="http://schemas.microsoft.com/office/drawing/2014/main" id="{00000000-0008-0000-0100-0000B2010000}"/>
            </a:ext>
          </a:extLst>
        </xdr:cNvPr>
        <xdr:cNvSpPr txBox="1"/>
      </xdr:nvSpPr>
      <xdr:spPr>
        <a:xfrm>
          <a:off x="4057650" y="4619625"/>
          <a:ext cx="2181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47B4204C-1759-4111-8260-97B9240C93A1}" type="TxLink">
            <a:rPr lang="en-US" sz="900" b="1" i="0" u="sng" strike="noStrike">
              <a:solidFill>
                <a:srgbClr val="366092"/>
              </a:solidFill>
              <a:latin typeface="Arial"/>
              <a:cs typeface="Arial"/>
            </a:rPr>
            <a:pPr algn="l"/>
            <a:t>Community Stability</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16</xdr:col>
      <xdr:colOff>314325</xdr:colOff>
      <xdr:row>17</xdr:row>
      <xdr:rowOff>9525</xdr:rowOff>
    </xdr:from>
    <xdr:ext cx="2181225" cy="264560"/>
    <xdr:sp macro="" textlink="$AC$18">
      <xdr:nvSpPr>
        <xdr:cNvPr id="229" name="TOC_SECTION_LINK">
          <a:hlinkClick xmlns:r="http://schemas.openxmlformats.org/officeDocument/2006/relationships" r:id="rId3"/>
          <a:extLst>
            <a:ext uri="{FF2B5EF4-FFF2-40B4-BE49-F238E27FC236}">
              <a16:creationId xmlns:a16="http://schemas.microsoft.com/office/drawing/2014/main" id="{00000000-0008-0000-0100-0000E5000000}"/>
            </a:ext>
          </a:extLst>
        </xdr:cNvPr>
        <xdr:cNvSpPr txBox="1"/>
      </xdr:nvSpPr>
      <xdr:spPr>
        <a:xfrm>
          <a:off x="12182475" y="3448050"/>
          <a:ext cx="2181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FFC6B5D6-9C7A-49C1-AAF9-84AC74DB2DFA}" type="TxLink">
            <a:rPr lang="en-US" sz="900" b="1" i="0" u="sng" strike="noStrike">
              <a:solidFill>
                <a:srgbClr val="366092"/>
              </a:solidFill>
              <a:latin typeface="Arial"/>
              <a:cs typeface="Arial"/>
            </a:rPr>
            <a:pPr algn="l"/>
            <a:t>Large Units</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16</xdr:col>
      <xdr:colOff>314325</xdr:colOff>
      <xdr:row>18</xdr:row>
      <xdr:rowOff>9525</xdr:rowOff>
    </xdr:from>
    <xdr:ext cx="2181225" cy="264560"/>
    <xdr:sp macro="" textlink="$AC$19">
      <xdr:nvSpPr>
        <xdr:cNvPr id="287" name="TOC_SECTION_LINK">
          <a:hlinkClick xmlns:r="http://schemas.openxmlformats.org/officeDocument/2006/relationships" r:id="rId4"/>
          <a:extLst>
            <a:ext uri="{FF2B5EF4-FFF2-40B4-BE49-F238E27FC236}">
              <a16:creationId xmlns:a16="http://schemas.microsoft.com/office/drawing/2014/main" id="{00000000-0008-0000-0100-00001F010000}"/>
            </a:ext>
          </a:extLst>
        </xdr:cNvPr>
        <xdr:cNvSpPr txBox="1"/>
      </xdr:nvSpPr>
      <xdr:spPr>
        <a:xfrm>
          <a:off x="12182475" y="3724275"/>
          <a:ext cx="2181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68EBD75B-FA45-4523-A0A8-AB1C62F2375B}" type="TxLink">
            <a:rPr lang="en-US" sz="900" b="1" i="0" u="sng" strike="noStrike">
              <a:solidFill>
                <a:srgbClr val="366092"/>
              </a:solidFill>
              <a:latin typeface="Arial"/>
              <a:cs typeface="Arial"/>
            </a:rPr>
            <a:pPr algn="l"/>
            <a:t>Rural</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twoCellAnchor editAs="oneCell">
    <xdr:from>
      <xdr:col>7</xdr:col>
      <xdr:colOff>66675</xdr:colOff>
      <xdr:row>849</xdr:row>
      <xdr:rowOff>0</xdr:rowOff>
    </xdr:from>
    <xdr:to>
      <xdr:col>24</xdr:col>
      <xdr:colOff>104774</xdr:colOff>
      <xdr:row>923</xdr:row>
      <xdr:rowOff>142875</xdr:rowOff>
    </xdr:to>
    <xdr:grpSp>
      <xdr:nvGrpSpPr>
        <xdr:cNvPr id="293" name="SECTION_GROUP">
          <a:extLst>
            <a:ext uri="{FF2B5EF4-FFF2-40B4-BE49-F238E27FC236}">
              <a16:creationId xmlns:a16="http://schemas.microsoft.com/office/drawing/2014/main" id="{00000000-0008-0000-0100-000025010000}"/>
            </a:ext>
          </a:extLst>
        </xdr:cNvPr>
        <xdr:cNvGrpSpPr/>
      </xdr:nvGrpSpPr>
      <xdr:grpSpPr>
        <a:xfrm>
          <a:off x="66675" y="255698625"/>
          <a:ext cx="7362824" cy="20583525"/>
          <a:chOff x="9363075" y="17306808"/>
          <a:chExt cx="7362825" cy="22156610"/>
        </a:xfrm>
      </xdr:grpSpPr>
      <xdr:sp macro="" textlink="$B$483">
        <xdr:nvSpPr>
          <xdr:cNvPr id="295" name="SECTION_GROUP_TITLE">
            <a:extLst>
              <a:ext uri="{FF2B5EF4-FFF2-40B4-BE49-F238E27FC236}">
                <a16:creationId xmlns:a16="http://schemas.microsoft.com/office/drawing/2014/main" id="{00000000-0008-0000-0100-000027010000}"/>
              </a:ext>
            </a:extLst>
          </xdr:cNvPr>
          <xdr:cNvSpPr/>
        </xdr:nvSpPr>
        <xdr:spPr>
          <a:xfrm>
            <a:off x="9363075" y="17306808"/>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31A48AAB-8A57-4AAB-8CFC-E6D017314BB7}" type="TxLink">
              <a:rPr lang="en-US" sz="1000" b="1" i="0" u="none" strike="noStrike">
                <a:solidFill>
                  <a:srgbClr val="FFFFFF"/>
                </a:solidFill>
                <a:latin typeface="Arial" pitchFamily="34" charset="0"/>
                <a:cs typeface="Arial" pitchFamily="34" charset="0"/>
              </a:rPr>
              <a:pPr algn="l"/>
              <a:t>Project Readiness (Maximum Points: 7)</a:t>
            </a:fld>
            <a:endParaRPr lang="en-US" sz="1000" b="1" i="0" u="none" strike="noStrike">
              <a:solidFill>
                <a:schemeClr val="bg1"/>
              </a:solidFill>
              <a:latin typeface="Arial" pitchFamily="34" charset="0"/>
              <a:cs typeface="Arial" pitchFamily="34" charset="0"/>
            </a:endParaRPr>
          </a:p>
        </xdr:txBody>
      </xdr:sp>
      <xdr:sp macro="" textlink="">
        <xdr:nvSpPr>
          <xdr:cNvPr id="296" name="SECTION_GROUP_FRAME">
            <a:extLst>
              <a:ext uri="{FF2B5EF4-FFF2-40B4-BE49-F238E27FC236}">
                <a16:creationId xmlns:a16="http://schemas.microsoft.com/office/drawing/2014/main" id="{00000000-0008-0000-0100-000028010000}"/>
              </a:ext>
            </a:extLst>
          </xdr:cNvPr>
          <xdr:cNvSpPr/>
        </xdr:nvSpPr>
        <xdr:spPr>
          <a:xfrm>
            <a:off x="9363075" y="17641464"/>
            <a:ext cx="7362825" cy="21821954"/>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515">
        <xdr:nvSpPr>
          <xdr:cNvPr id="298" name="SECTION_GROUP_SUBTITLE">
            <a:extLst>
              <a:ext uri="{FF2B5EF4-FFF2-40B4-BE49-F238E27FC236}">
                <a16:creationId xmlns:a16="http://schemas.microsoft.com/office/drawing/2014/main" id="{00000000-0008-0000-0100-00002A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EEF5A575-1EAC-4927-B095-0181802E319F}" type="TxLink">
              <a:rPr lang="en-US" sz="800" b="0" i="0" u="none" strike="noStrike">
                <a:solidFill>
                  <a:srgbClr val="000000"/>
                </a:solidFill>
                <a:latin typeface="Arial" pitchFamily="34" charset="0"/>
                <a:cs typeface="Arial" pitchFamily="34" charset="0"/>
              </a:rPr>
              <a:pPr algn="r"/>
              <a:t>Not Started</a:t>
            </a:fld>
            <a:endParaRPr lang="en-US" sz="1050" b="0" i="0">
              <a:latin typeface="Arial" pitchFamily="34" charset="0"/>
              <a:cs typeface="Arial" pitchFamily="34" charset="0"/>
            </a:endParaRPr>
          </a:p>
        </xdr:txBody>
      </xdr:sp>
      <xdr:sp macro="" textlink="">
        <xdr:nvSpPr>
          <xdr:cNvPr id="299" name="SECTION_GROUP_SUBTITLE_LABEL">
            <a:extLst>
              <a:ext uri="{FF2B5EF4-FFF2-40B4-BE49-F238E27FC236}">
                <a16:creationId xmlns:a16="http://schemas.microsoft.com/office/drawing/2014/main" id="{00000000-0008-0000-0100-00002B010000}"/>
              </a:ext>
            </a:extLst>
          </xdr:cNvPr>
          <xdr:cNvSpPr txBox="1"/>
        </xdr:nvSpPr>
        <xdr:spPr>
          <a:xfrm>
            <a:off x="15640051"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66675</xdr:colOff>
      <xdr:row>626</xdr:row>
      <xdr:rowOff>238125</xdr:rowOff>
    </xdr:from>
    <xdr:to>
      <xdr:col>24</xdr:col>
      <xdr:colOff>104774</xdr:colOff>
      <xdr:row>640</xdr:row>
      <xdr:rowOff>114310</xdr:rowOff>
    </xdr:to>
    <xdr:grpSp>
      <xdr:nvGrpSpPr>
        <xdr:cNvPr id="224" name="SECTION_GROUP">
          <a:extLst>
            <a:ext uri="{FF2B5EF4-FFF2-40B4-BE49-F238E27FC236}">
              <a16:creationId xmlns:a16="http://schemas.microsoft.com/office/drawing/2014/main" id="{00000000-0008-0000-0100-0000E0000000}"/>
            </a:ext>
          </a:extLst>
        </xdr:cNvPr>
        <xdr:cNvGrpSpPr/>
      </xdr:nvGrpSpPr>
      <xdr:grpSpPr>
        <a:xfrm>
          <a:off x="66675" y="194338575"/>
          <a:ext cx="7362824" cy="3743335"/>
          <a:chOff x="9363075" y="17274068"/>
          <a:chExt cx="7362825" cy="4287709"/>
        </a:xfrm>
      </xdr:grpSpPr>
      <xdr:sp macro="" textlink="$B$429">
        <xdr:nvSpPr>
          <xdr:cNvPr id="225" name="SECTION_GROUP_TITLE">
            <a:extLst>
              <a:ext uri="{FF2B5EF4-FFF2-40B4-BE49-F238E27FC236}">
                <a16:creationId xmlns:a16="http://schemas.microsoft.com/office/drawing/2014/main" id="{00000000-0008-0000-0100-0000E1000000}"/>
              </a:ext>
            </a:extLst>
          </xdr:cNvPr>
          <xdr:cNvSpPr/>
        </xdr:nvSpPr>
        <xdr:spPr>
          <a:xfrm>
            <a:off x="9363075" y="17274068"/>
            <a:ext cx="7360920" cy="356108"/>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D8E51200-0710-45DF-8A28-532859342638}" type="TxLink">
              <a:rPr lang="en-US" sz="1000" b="1" i="0" u="none" strike="noStrike">
                <a:solidFill>
                  <a:srgbClr val="FFFFFF"/>
                </a:solidFill>
                <a:latin typeface="Arial" pitchFamily="34" charset="0"/>
                <a:cs typeface="Arial" pitchFamily="34" charset="0"/>
              </a:rPr>
              <a:pPr algn="l"/>
              <a:t>Housing for Special Needs Populations (Maximum Points: 5)</a:t>
            </a:fld>
            <a:endParaRPr lang="en-US" sz="1000" b="1" i="0" u="none" strike="noStrike">
              <a:solidFill>
                <a:schemeClr val="bg1"/>
              </a:solidFill>
              <a:latin typeface="Arial" pitchFamily="34" charset="0"/>
              <a:cs typeface="Arial" pitchFamily="34" charset="0"/>
            </a:endParaRPr>
          </a:p>
        </xdr:txBody>
      </xdr:sp>
      <xdr:sp macro="" textlink="">
        <xdr:nvSpPr>
          <xdr:cNvPr id="226" name="SECTION_GROUP_FRAME">
            <a:extLst>
              <a:ext uri="{FF2B5EF4-FFF2-40B4-BE49-F238E27FC236}">
                <a16:creationId xmlns:a16="http://schemas.microsoft.com/office/drawing/2014/main" id="{00000000-0008-0000-0100-0000E2000000}"/>
              </a:ext>
            </a:extLst>
          </xdr:cNvPr>
          <xdr:cNvSpPr/>
        </xdr:nvSpPr>
        <xdr:spPr>
          <a:xfrm>
            <a:off x="9363075" y="17641463"/>
            <a:ext cx="7362825" cy="3920314"/>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441">
        <xdr:nvSpPr>
          <xdr:cNvPr id="227" name="SECTION_GROUP_SUBTITLE">
            <a:extLst>
              <a:ext uri="{FF2B5EF4-FFF2-40B4-BE49-F238E27FC236}">
                <a16:creationId xmlns:a16="http://schemas.microsoft.com/office/drawing/2014/main" id="{00000000-0008-0000-0100-0000E3000000}"/>
              </a:ext>
            </a:extLst>
          </xdr:cNvPr>
          <xdr:cNvSpPr/>
        </xdr:nvSpPr>
        <xdr:spPr>
          <a:xfrm>
            <a:off x="9372598" y="17650974"/>
            <a:ext cx="7351776" cy="314213"/>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F65A8C33-5590-4F05-87D6-5A5934F367A5}" type="TxLink">
              <a:rPr lang="en-US" sz="800" b="0" i="0" u="none" strike="noStrike">
                <a:solidFill>
                  <a:srgbClr val="000000"/>
                </a:solidFill>
                <a:latin typeface="Arial" pitchFamily="34" charset="0"/>
                <a:cs typeface="Arial" pitchFamily="34" charset="0"/>
              </a:rPr>
              <a:pPr algn="r"/>
              <a:t>Not Started</a:t>
            </a:fld>
            <a:endParaRPr lang="en-US" sz="1050" b="0" i="0">
              <a:latin typeface="Arial" pitchFamily="34" charset="0"/>
              <a:cs typeface="Arial" pitchFamily="34" charset="0"/>
            </a:endParaRPr>
          </a:p>
        </xdr:txBody>
      </xdr:sp>
      <xdr:sp macro="" textlink="">
        <xdr:nvSpPr>
          <xdr:cNvPr id="228" name="SECTION_GROUP_SUBTITLE_LABEL">
            <a:extLst>
              <a:ext uri="{FF2B5EF4-FFF2-40B4-BE49-F238E27FC236}">
                <a16:creationId xmlns:a16="http://schemas.microsoft.com/office/drawing/2014/main" id="{00000000-0008-0000-0100-0000E4000000}"/>
              </a:ext>
            </a:extLst>
          </xdr:cNvPr>
          <xdr:cNvSpPr txBox="1"/>
        </xdr:nvSpPr>
        <xdr:spPr>
          <a:xfrm>
            <a:off x="15640051"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66675</xdr:colOff>
      <xdr:row>602</xdr:row>
      <xdr:rowOff>238125</xdr:rowOff>
    </xdr:from>
    <xdr:to>
      <xdr:col>24</xdr:col>
      <xdr:colOff>104774</xdr:colOff>
      <xdr:row>626</xdr:row>
      <xdr:rowOff>82825</xdr:rowOff>
    </xdr:to>
    <xdr:grpSp>
      <xdr:nvGrpSpPr>
        <xdr:cNvPr id="259" name="SECTION_GROUP">
          <a:extLst>
            <a:ext uri="{FF2B5EF4-FFF2-40B4-BE49-F238E27FC236}">
              <a16:creationId xmlns:a16="http://schemas.microsoft.com/office/drawing/2014/main" id="{00000000-0008-0000-0100-000003010000}"/>
            </a:ext>
          </a:extLst>
        </xdr:cNvPr>
        <xdr:cNvGrpSpPr/>
      </xdr:nvGrpSpPr>
      <xdr:grpSpPr>
        <a:xfrm>
          <a:off x="66675" y="180698775"/>
          <a:ext cx="7362824" cy="13484500"/>
          <a:chOff x="9363075" y="17306808"/>
          <a:chExt cx="7362825" cy="14524664"/>
        </a:xfrm>
      </xdr:grpSpPr>
      <xdr:sp macro="" textlink="">
        <xdr:nvSpPr>
          <xdr:cNvPr id="260" name="SECTION_GROUP_FRAME">
            <a:extLst>
              <a:ext uri="{FF2B5EF4-FFF2-40B4-BE49-F238E27FC236}">
                <a16:creationId xmlns:a16="http://schemas.microsoft.com/office/drawing/2014/main" id="{00000000-0008-0000-0100-000004010000}"/>
              </a:ext>
            </a:extLst>
          </xdr:cNvPr>
          <xdr:cNvSpPr/>
        </xdr:nvSpPr>
        <xdr:spPr>
          <a:xfrm>
            <a:off x="9363075" y="17641464"/>
            <a:ext cx="7362825" cy="14190008"/>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391">
        <xdr:nvSpPr>
          <xdr:cNvPr id="261" name="SECTION_GROUP_TITLE">
            <a:extLst>
              <a:ext uri="{FF2B5EF4-FFF2-40B4-BE49-F238E27FC236}">
                <a16:creationId xmlns:a16="http://schemas.microsoft.com/office/drawing/2014/main" id="{00000000-0008-0000-0100-000005010000}"/>
              </a:ext>
            </a:extLst>
          </xdr:cNvPr>
          <xdr:cNvSpPr/>
        </xdr:nvSpPr>
        <xdr:spPr>
          <a:xfrm>
            <a:off x="9363075" y="17306808"/>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D51F6ED8-0E5F-4605-B17E-FD584CECF7E1}" type="TxLink">
              <a:rPr lang="en-US" sz="1000" b="1" i="0" u="none" strike="noStrike">
                <a:solidFill>
                  <a:srgbClr val="FFFFFF"/>
                </a:solidFill>
                <a:latin typeface="Arial" pitchFamily="34" charset="0"/>
                <a:cs typeface="Arial" pitchFamily="34" charset="0"/>
              </a:rPr>
              <a:pPr algn="l"/>
              <a:t>Housing for Homeless Households (Maximum Points: 6)</a:t>
            </a:fld>
            <a:endParaRPr lang="en-US" sz="1000" b="1" i="0" u="none" strike="noStrike">
              <a:solidFill>
                <a:schemeClr val="bg1"/>
              </a:solidFill>
              <a:latin typeface="Arial" pitchFamily="34" charset="0"/>
              <a:cs typeface="Arial" pitchFamily="34" charset="0"/>
            </a:endParaRPr>
          </a:p>
        </xdr:txBody>
      </xdr:sp>
      <xdr:sp macro="" textlink="$B$399">
        <xdr:nvSpPr>
          <xdr:cNvPr id="264" name="SECTION_GROUP_SUBTITLE">
            <a:extLst>
              <a:ext uri="{FF2B5EF4-FFF2-40B4-BE49-F238E27FC236}">
                <a16:creationId xmlns:a16="http://schemas.microsoft.com/office/drawing/2014/main" id="{00000000-0008-0000-0100-000008010000}"/>
              </a:ext>
            </a:extLst>
          </xdr:cNvPr>
          <xdr:cNvSpPr/>
        </xdr:nvSpPr>
        <xdr:spPr>
          <a:xfrm>
            <a:off x="9372598" y="17645573"/>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032C1DF6-5410-4C67-BDB0-4596E27475F5}" type="TxLink">
              <a:rPr lang="en-US" sz="800" b="0" i="0" u="none" strike="noStrike">
                <a:solidFill>
                  <a:srgbClr val="000000"/>
                </a:solidFill>
                <a:latin typeface="Arial" pitchFamily="34" charset="0"/>
                <a:cs typeface="Arial" pitchFamily="34" charset="0"/>
              </a:rPr>
              <a:pPr algn="r"/>
              <a:t>Not Started</a:t>
            </a:fld>
            <a:endParaRPr lang="en-US" sz="1050" b="0" i="0">
              <a:latin typeface="Arial" pitchFamily="34" charset="0"/>
              <a:cs typeface="Arial" pitchFamily="34" charset="0"/>
            </a:endParaRPr>
          </a:p>
        </xdr:txBody>
      </xdr:sp>
      <xdr:sp macro="" textlink="">
        <xdr:nvSpPr>
          <xdr:cNvPr id="266" name="SECTION_GROUP_SUBTITLE_LABEL">
            <a:extLst>
              <a:ext uri="{FF2B5EF4-FFF2-40B4-BE49-F238E27FC236}">
                <a16:creationId xmlns:a16="http://schemas.microsoft.com/office/drawing/2014/main" id="{00000000-0008-0000-0100-00000A010000}"/>
              </a:ext>
            </a:extLst>
          </xdr:cNvPr>
          <xdr:cNvSpPr txBox="1"/>
        </xdr:nvSpPr>
        <xdr:spPr>
          <a:xfrm>
            <a:off x="15640051" y="17650982"/>
            <a:ext cx="476249" cy="2939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oneCellAnchor>
    <xdr:from>
      <xdr:col>16</xdr:col>
      <xdr:colOff>314325</xdr:colOff>
      <xdr:row>14</xdr:row>
      <xdr:rowOff>9525</xdr:rowOff>
    </xdr:from>
    <xdr:ext cx="2181225" cy="264560"/>
    <xdr:sp macro="" textlink="$AC$15">
      <xdr:nvSpPr>
        <xdr:cNvPr id="253" name="TOC_SECTION_LINK">
          <a:hlinkClick xmlns:r="http://schemas.openxmlformats.org/officeDocument/2006/relationships" r:id="rId5"/>
          <a:extLst>
            <a:ext uri="{FF2B5EF4-FFF2-40B4-BE49-F238E27FC236}">
              <a16:creationId xmlns:a16="http://schemas.microsoft.com/office/drawing/2014/main" id="{00000000-0008-0000-0100-0000FD000000}"/>
            </a:ext>
          </a:extLst>
        </xdr:cNvPr>
        <xdr:cNvSpPr txBox="1"/>
      </xdr:nvSpPr>
      <xdr:spPr>
        <a:xfrm>
          <a:off x="12182475" y="2619375"/>
          <a:ext cx="2181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AC5A00C6-0505-4DB4-930D-6C4BBA110E21}" type="TxLink">
            <a:rPr lang="en-US" sz="900" b="1" i="0" u="sng" strike="noStrike">
              <a:solidFill>
                <a:srgbClr val="366092"/>
              </a:solidFill>
              <a:latin typeface="Arial"/>
              <a:cs typeface="Arial"/>
            </a:rPr>
            <a:pPr algn="l"/>
            <a:t>Nonprofit Sponsorship</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twoCellAnchor editAs="oneCell">
    <xdr:from>
      <xdr:col>7</xdr:col>
      <xdr:colOff>66675</xdr:colOff>
      <xdr:row>550</xdr:row>
      <xdr:rowOff>247650</xdr:rowOff>
    </xdr:from>
    <xdr:to>
      <xdr:col>24</xdr:col>
      <xdr:colOff>104774</xdr:colOff>
      <xdr:row>602</xdr:row>
      <xdr:rowOff>95252</xdr:rowOff>
    </xdr:to>
    <xdr:grpSp>
      <xdr:nvGrpSpPr>
        <xdr:cNvPr id="189" name="SECTION_GROUP">
          <a:extLst>
            <a:ext uri="{FF2B5EF4-FFF2-40B4-BE49-F238E27FC236}">
              <a16:creationId xmlns:a16="http://schemas.microsoft.com/office/drawing/2014/main" id="{00000000-0008-0000-0100-0000BD000000}"/>
            </a:ext>
          </a:extLst>
        </xdr:cNvPr>
        <xdr:cNvGrpSpPr/>
      </xdr:nvGrpSpPr>
      <xdr:grpSpPr>
        <a:xfrm>
          <a:off x="66675" y="166344600"/>
          <a:ext cx="7362824" cy="14211302"/>
          <a:chOff x="9363075" y="17306808"/>
          <a:chExt cx="7362825" cy="15603931"/>
        </a:xfrm>
      </xdr:grpSpPr>
      <xdr:sp macro="" textlink="">
        <xdr:nvSpPr>
          <xdr:cNvPr id="190" name="SECTION_GROUP_FRAME">
            <a:extLst>
              <a:ext uri="{FF2B5EF4-FFF2-40B4-BE49-F238E27FC236}">
                <a16:creationId xmlns:a16="http://schemas.microsoft.com/office/drawing/2014/main" id="{00000000-0008-0000-0100-0000BE000000}"/>
              </a:ext>
            </a:extLst>
          </xdr:cNvPr>
          <xdr:cNvSpPr/>
        </xdr:nvSpPr>
        <xdr:spPr>
          <a:xfrm>
            <a:off x="9363075" y="17641465"/>
            <a:ext cx="7362825" cy="15269274"/>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349">
        <xdr:nvSpPr>
          <xdr:cNvPr id="191" name="SECTION_GROUP_TITLE">
            <a:extLst>
              <a:ext uri="{FF2B5EF4-FFF2-40B4-BE49-F238E27FC236}">
                <a16:creationId xmlns:a16="http://schemas.microsoft.com/office/drawing/2014/main" id="{00000000-0008-0000-0100-0000BF000000}"/>
              </a:ext>
            </a:extLst>
          </xdr:cNvPr>
          <xdr:cNvSpPr/>
        </xdr:nvSpPr>
        <xdr:spPr>
          <a:xfrm>
            <a:off x="9363075" y="17306808"/>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113466A9-ADF9-451E-8531-DB9B8F0C3B05}" type="TxLink">
              <a:rPr lang="en-US" sz="1000" b="1" i="0" u="none" strike="noStrike">
                <a:solidFill>
                  <a:srgbClr val="FFFFFF"/>
                </a:solidFill>
                <a:latin typeface="Arial" pitchFamily="34" charset="0"/>
                <a:cs typeface="Arial" pitchFamily="34" charset="0"/>
              </a:rPr>
              <a:pPr algn="l"/>
              <a:t>Sponsorship by a Not-For-Profit Organization or Government Entity (Maximum Points: 7)</a:t>
            </a:fld>
            <a:endParaRPr lang="en-US" sz="1000" b="1" i="0" u="none" strike="noStrike">
              <a:solidFill>
                <a:schemeClr val="bg1"/>
              </a:solidFill>
              <a:latin typeface="Arial" pitchFamily="34" charset="0"/>
              <a:cs typeface="Arial" pitchFamily="34" charset="0"/>
            </a:endParaRPr>
          </a:p>
        </xdr:txBody>
      </xdr:sp>
      <xdr:sp macro="" textlink="$B$382">
        <xdr:nvSpPr>
          <xdr:cNvPr id="192" name="SECTION_GROUP_SUBTITLE">
            <a:extLst>
              <a:ext uri="{FF2B5EF4-FFF2-40B4-BE49-F238E27FC236}">
                <a16:creationId xmlns:a16="http://schemas.microsoft.com/office/drawing/2014/main" id="{00000000-0008-0000-0100-0000C000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E9025707-78DE-49FC-8996-5782EA9B192B}" type="TxLink">
              <a:rPr lang="en-US" sz="800" b="0" i="0" u="none" strike="noStrike">
                <a:solidFill>
                  <a:srgbClr val="000000"/>
                </a:solidFill>
                <a:latin typeface="Arial" pitchFamily="34" charset="0"/>
                <a:cs typeface="Arial" pitchFamily="34" charset="0"/>
              </a:rPr>
              <a:pPr algn="r"/>
              <a:t>Not Started</a:t>
            </a:fld>
            <a:endParaRPr lang="en-US" sz="1050" b="0" i="0">
              <a:latin typeface="Arial" pitchFamily="34" charset="0"/>
              <a:cs typeface="Arial" pitchFamily="34" charset="0"/>
            </a:endParaRPr>
          </a:p>
        </xdr:txBody>
      </xdr:sp>
      <xdr:sp macro="" textlink="">
        <xdr:nvSpPr>
          <xdr:cNvPr id="193" name="SECTION_GROUP_SUBTITLE_LABEL">
            <a:extLst>
              <a:ext uri="{FF2B5EF4-FFF2-40B4-BE49-F238E27FC236}">
                <a16:creationId xmlns:a16="http://schemas.microsoft.com/office/drawing/2014/main" id="{00000000-0008-0000-0100-0000C1000000}"/>
              </a:ext>
            </a:extLst>
          </xdr:cNvPr>
          <xdr:cNvSpPr txBox="1"/>
        </xdr:nvSpPr>
        <xdr:spPr>
          <a:xfrm>
            <a:off x="15640051"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oneCellAnchor>
    <xdr:from>
      <xdr:col>8</xdr:col>
      <xdr:colOff>219074</xdr:colOff>
      <xdr:row>12</xdr:row>
      <xdr:rowOff>9525</xdr:rowOff>
    </xdr:from>
    <xdr:ext cx="2295525" cy="264560"/>
    <xdr:sp macro="" textlink="$G$18">
      <xdr:nvSpPr>
        <xdr:cNvPr id="49" name="TOC_SECTION_LINK">
          <a:hlinkClick xmlns:r="http://schemas.openxmlformats.org/officeDocument/2006/relationships" r:id="rId6"/>
          <a:extLst>
            <a:ext uri="{FF2B5EF4-FFF2-40B4-BE49-F238E27FC236}">
              <a16:creationId xmlns:a16="http://schemas.microsoft.com/office/drawing/2014/main" id="{00000000-0008-0000-0100-000031000000}"/>
            </a:ext>
          </a:extLst>
        </xdr:cNvPr>
        <xdr:cNvSpPr txBox="1"/>
      </xdr:nvSpPr>
      <xdr:spPr>
        <a:xfrm>
          <a:off x="8505824" y="2066925"/>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B36367EC-FE10-4F0D-9705-8C04301B182A}" type="TxLink">
            <a:rPr lang="en-US" sz="900" b="1" i="0" u="sng" strike="noStrike">
              <a:solidFill>
                <a:srgbClr val="376091"/>
              </a:solidFill>
              <a:latin typeface="Arial" pitchFamily="34" charset="0"/>
              <a:cs typeface="Arial" pitchFamily="34" charset="0"/>
            </a:rPr>
            <a:pPr algn="l"/>
            <a:t>Project Location</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8</xdr:col>
      <xdr:colOff>219074</xdr:colOff>
      <xdr:row>13</xdr:row>
      <xdr:rowOff>9525</xdr:rowOff>
    </xdr:from>
    <xdr:ext cx="2295525" cy="264560"/>
    <xdr:sp macro="" textlink="$G$37">
      <xdr:nvSpPr>
        <xdr:cNvPr id="402" name="TOC_SECTION_LINK">
          <a:hlinkClick xmlns:r="http://schemas.openxmlformats.org/officeDocument/2006/relationships" r:id="rId7"/>
          <a:extLst>
            <a:ext uri="{FF2B5EF4-FFF2-40B4-BE49-F238E27FC236}">
              <a16:creationId xmlns:a16="http://schemas.microsoft.com/office/drawing/2014/main" id="{00000000-0008-0000-0100-000092010000}"/>
            </a:ext>
          </a:extLst>
        </xdr:cNvPr>
        <xdr:cNvSpPr txBox="1"/>
      </xdr:nvSpPr>
      <xdr:spPr>
        <a:xfrm>
          <a:off x="8505824" y="2343150"/>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4DCA384B-5EF9-438B-BDEE-830B43662A16}" type="TxLink">
            <a:rPr lang="en-US" sz="900" b="1" i="0" u="sng" strike="noStrike">
              <a:solidFill>
                <a:srgbClr val="376091"/>
              </a:solidFill>
              <a:latin typeface="Arial" pitchFamily="34" charset="0"/>
              <a:cs typeface="Arial" pitchFamily="34" charset="0"/>
            </a:rPr>
            <a:pPr algn="l"/>
            <a:t>Member Information</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8</xdr:col>
      <xdr:colOff>219074</xdr:colOff>
      <xdr:row>14</xdr:row>
      <xdr:rowOff>9525</xdr:rowOff>
    </xdr:from>
    <xdr:ext cx="2295525" cy="264560"/>
    <xdr:sp macro="" textlink="$G$57">
      <xdr:nvSpPr>
        <xdr:cNvPr id="403" name="TOC_SECTION_LINK">
          <a:hlinkClick xmlns:r="http://schemas.openxmlformats.org/officeDocument/2006/relationships" r:id="rId8"/>
          <a:extLst>
            <a:ext uri="{FF2B5EF4-FFF2-40B4-BE49-F238E27FC236}">
              <a16:creationId xmlns:a16="http://schemas.microsoft.com/office/drawing/2014/main" id="{00000000-0008-0000-0100-000093010000}"/>
            </a:ext>
          </a:extLst>
        </xdr:cNvPr>
        <xdr:cNvSpPr txBox="1"/>
      </xdr:nvSpPr>
      <xdr:spPr>
        <a:xfrm>
          <a:off x="8505824" y="2619375"/>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999FB6D9-654B-4E79-AE1C-508CD6275AAB}" type="TxLink">
            <a:rPr lang="en-US" sz="900" b="1" i="0" u="sng" strike="noStrike">
              <a:solidFill>
                <a:srgbClr val="376091"/>
              </a:solidFill>
              <a:latin typeface="Arial" pitchFamily="34" charset="0"/>
              <a:cs typeface="Arial" pitchFamily="34" charset="0"/>
            </a:rPr>
            <a:pPr algn="l"/>
            <a:t>Sponsor Information</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8</xdr:col>
      <xdr:colOff>219074</xdr:colOff>
      <xdr:row>15</xdr:row>
      <xdr:rowOff>9525</xdr:rowOff>
    </xdr:from>
    <xdr:ext cx="2295525" cy="264560"/>
    <xdr:sp macro="" textlink="$G$77">
      <xdr:nvSpPr>
        <xdr:cNvPr id="404" name="TOC_SECTION_LINK">
          <a:hlinkClick xmlns:r="http://schemas.openxmlformats.org/officeDocument/2006/relationships" r:id="rId9"/>
          <a:extLst>
            <a:ext uri="{FF2B5EF4-FFF2-40B4-BE49-F238E27FC236}">
              <a16:creationId xmlns:a16="http://schemas.microsoft.com/office/drawing/2014/main" id="{00000000-0008-0000-0100-000094010000}"/>
            </a:ext>
          </a:extLst>
        </xdr:cNvPr>
        <xdr:cNvSpPr txBox="1"/>
      </xdr:nvSpPr>
      <xdr:spPr>
        <a:xfrm>
          <a:off x="8505824" y="2895600"/>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1B2EC8FB-E3C7-4AE2-B649-56BFEE21EA5B}" type="TxLink">
            <a:rPr lang="en-US" sz="900" b="1" i="0" u="sng" strike="noStrike">
              <a:solidFill>
                <a:srgbClr val="376091"/>
              </a:solidFill>
              <a:latin typeface="Arial" pitchFamily="34" charset="0"/>
              <a:cs typeface="Arial" pitchFamily="34" charset="0"/>
            </a:rPr>
            <a:pPr algn="l"/>
            <a:t>Subsidy Request</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8</xdr:col>
      <xdr:colOff>219074</xdr:colOff>
      <xdr:row>16</xdr:row>
      <xdr:rowOff>9525</xdr:rowOff>
    </xdr:from>
    <xdr:ext cx="2295525" cy="264560"/>
    <xdr:sp macro="" textlink="$G$108">
      <xdr:nvSpPr>
        <xdr:cNvPr id="405" name="TOC_SECTION_LINK">
          <a:hlinkClick xmlns:r="http://schemas.openxmlformats.org/officeDocument/2006/relationships" r:id="rId10"/>
          <a:extLst>
            <a:ext uri="{FF2B5EF4-FFF2-40B4-BE49-F238E27FC236}">
              <a16:creationId xmlns:a16="http://schemas.microsoft.com/office/drawing/2014/main" id="{00000000-0008-0000-0100-000095010000}"/>
            </a:ext>
          </a:extLst>
        </xdr:cNvPr>
        <xdr:cNvSpPr txBox="1"/>
      </xdr:nvSpPr>
      <xdr:spPr>
        <a:xfrm>
          <a:off x="8505824" y="3171825"/>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6FEB2BDD-4C7E-4C52-811C-18F2F4F6B702}" type="TxLink">
            <a:rPr lang="en-US" sz="900" b="1" i="0" u="sng" strike="noStrike">
              <a:solidFill>
                <a:srgbClr val="376091"/>
              </a:solidFill>
              <a:latin typeface="Arial" pitchFamily="34" charset="0"/>
              <a:cs typeface="Arial" pitchFamily="34" charset="0"/>
            </a:rPr>
            <a:pPr algn="l"/>
            <a:t>Webinars &amp; Technical Assistance</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8</xdr:col>
      <xdr:colOff>219074</xdr:colOff>
      <xdr:row>17</xdr:row>
      <xdr:rowOff>9525</xdr:rowOff>
    </xdr:from>
    <xdr:ext cx="2295525" cy="264560"/>
    <xdr:sp macro="" textlink="$G$125">
      <xdr:nvSpPr>
        <xdr:cNvPr id="406" name="TOC_SECTION_LINK">
          <a:hlinkClick xmlns:r="http://schemas.openxmlformats.org/officeDocument/2006/relationships" r:id="rId11"/>
          <a:extLst>
            <a:ext uri="{FF2B5EF4-FFF2-40B4-BE49-F238E27FC236}">
              <a16:creationId xmlns:a16="http://schemas.microsoft.com/office/drawing/2014/main" id="{00000000-0008-0000-0100-000096010000}"/>
            </a:ext>
          </a:extLst>
        </xdr:cNvPr>
        <xdr:cNvSpPr txBox="1"/>
      </xdr:nvSpPr>
      <xdr:spPr>
        <a:xfrm>
          <a:off x="9705974" y="3790950"/>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ACFE5EA6-B67D-4266-B01B-C0A750493FB1}" type="TxLink">
            <a:rPr lang="en-US" sz="900" b="1" i="0" u="sng" strike="noStrike">
              <a:solidFill>
                <a:srgbClr val="376091"/>
              </a:solidFill>
              <a:latin typeface="Arial" pitchFamily="34" charset="0"/>
              <a:cs typeface="Arial" pitchFamily="34" charset="0"/>
            </a:rPr>
            <a:pPr algn="l"/>
            <a:t>Project Type and Characteristics</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8</xdr:col>
      <xdr:colOff>219074</xdr:colOff>
      <xdr:row>19</xdr:row>
      <xdr:rowOff>9525</xdr:rowOff>
    </xdr:from>
    <xdr:ext cx="2295525" cy="264560"/>
    <xdr:sp macro="" textlink="$G$174">
      <xdr:nvSpPr>
        <xdr:cNvPr id="408" name="TOC_SECTION_LINK">
          <a:hlinkClick xmlns:r="http://schemas.openxmlformats.org/officeDocument/2006/relationships" r:id="rId12"/>
          <a:extLst>
            <a:ext uri="{FF2B5EF4-FFF2-40B4-BE49-F238E27FC236}">
              <a16:creationId xmlns:a16="http://schemas.microsoft.com/office/drawing/2014/main" id="{00000000-0008-0000-0100-000098010000}"/>
            </a:ext>
          </a:extLst>
        </xdr:cNvPr>
        <xdr:cNvSpPr txBox="1"/>
      </xdr:nvSpPr>
      <xdr:spPr>
        <a:xfrm>
          <a:off x="9705974" y="4343400"/>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D6D37A79-BEEF-4903-807C-4CD9599357FB}" type="TxLink">
            <a:rPr lang="en-US" sz="900" b="1" i="0" u="sng" strike="noStrike">
              <a:solidFill>
                <a:srgbClr val="376091"/>
              </a:solidFill>
              <a:latin typeface="Arialri"/>
              <a:cs typeface="Arial" pitchFamily="34" charset="0"/>
            </a:rPr>
            <a:pPr algn="l"/>
            <a:t>Timing and Use of Funds</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8</xdr:col>
      <xdr:colOff>219074</xdr:colOff>
      <xdr:row>20</xdr:row>
      <xdr:rowOff>9525</xdr:rowOff>
    </xdr:from>
    <xdr:ext cx="2295525" cy="264560"/>
    <xdr:sp macro="" textlink="$G$194">
      <xdr:nvSpPr>
        <xdr:cNvPr id="409" name="TOC_SECTION_LINK">
          <a:hlinkClick xmlns:r="http://schemas.openxmlformats.org/officeDocument/2006/relationships" r:id="rId13"/>
          <a:extLst>
            <a:ext uri="{FF2B5EF4-FFF2-40B4-BE49-F238E27FC236}">
              <a16:creationId xmlns:a16="http://schemas.microsoft.com/office/drawing/2014/main" id="{00000000-0008-0000-0100-000099010000}"/>
            </a:ext>
          </a:extLst>
        </xdr:cNvPr>
        <xdr:cNvSpPr txBox="1"/>
      </xdr:nvSpPr>
      <xdr:spPr>
        <a:xfrm>
          <a:off x="9705974" y="4619625"/>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ED630C63-9012-4C1B-AEB0-CA9284B0F11F}" type="TxLink">
            <a:rPr lang="en-US" sz="900" b="1" i="0" u="sng" strike="noStrike">
              <a:solidFill>
                <a:srgbClr val="376091"/>
              </a:solidFill>
              <a:latin typeface="Arialri"/>
              <a:cs typeface="Arial" pitchFamily="34" charset="0"/>
            </a:rPr>
            <a:pPr algn="l"/>
            <a:t>Member Involvement</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8</xdr:col>
      <xdr:colOff>219074</xdr:colOff>
      <xdr:row>21</xdr:row>
      <xdr:rowOff>9525</xdr:rowOff>
    </xdr:from>
    <xdr:ext cx="2295525" cy="264560"/>
    <xdr:sp macro="" textlink="$G$218">
      <xdr:nvSpPr>
        <xdr:cNvPr id="410" name="TOC_SECTION_LINK">
          <a:hlinkClick xmlns:r="http://schemas.openxmlformats.org/officeDocument/2006/relationships" r:id="rId14"/>
          <a:extLst>
            <a:ext uri="{FF2B5EF4-FFF2-40B4-BE49-F238E27FC236}">
              <a16:creationId xmlns:a16="http://schemas.microsoft.com/office/drawing/2014/main" id="{00000000-0008-0000-0100-00009A010000}"/>
            </a:ext>
          </a:extLst>
        </xdr:cNvPr>
        <xdr:cNvSpPr txBox="1"/>
      </xdr:nvSpPr>
      <xdr:spPr>
        <a:xfrm>
          <a:off x="9705974" y="4895850"/>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5BE8C33B-D85C-4B65-B9CF-81A1F3BF713D}" type="TxLink">
            <a:rPr lang="en-US" sz="900" b="1" i="0" u="sng" strike="noStrike">
              <a:solidFill>
                <a:srgbClr val="376091"/>
              </a:solidFill>
              <a:latin typeface="Arialri"/>
              <a:cs typeface="Arial" pitchFamily="34" charset="0"/>
            </a:rPr>
            <a:pPr algn="l"/>
            <a:t>Project Sponsor Profile</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16</xdr:col>
      <xdr:colOff>314325</xdr:colOff>
      <xdr:row>13</xdr:row>
      <xdr:rowOff>9525</xdr:rowOff>
    </xdr:from>
    <xdr:ext cx="2181225" cy="264560"/>
    <xdr:sp macro="" textlink="$AC$14">
      <xdr:nvSpPr>
        <xdr:cNvPr id="413" name="TOC_SECTION_LINK">
          <a:hlinkClick xmlns:r="http://schemas.openxmlformats.org/officeDocument/2006/relationships" r:id="rId15"/>
          <a:extLst>
            <a:ext uri="{FF2B5EF4-FFF2-40B4-BE49-F238E27FC236}">
              <a16:creationId xmlns:a16="http://schemas.microsoft.com/office/drawing/2014/main" id="{00000000-0008-0000-0100-00009D010000}"/>
            </a:ext>
          </a:extLst>
        </xdr:cNvPr>
        <xdr:cNvSpPr txBox="1"/>
      </xdr:nvSpPr>
      <xdr:spPr>
        <a:xfrm>
          <a:off x="12182475" y="2743200"/>
          <a:ext cx="2181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51BF14C2-F71E-4992-A987-4305F0463CE9}" type="TxLink">
            <a:rPr lang="en-US" sz="900" b="1" i="0" u="sng" strike="noStrike">
              <a:solidFill>
                <a:srgbClr val="366092"/>
              </a:solidFill>
              <a:latin typeface="Arial"/>
              <a:cs typeface="Arial"/>
            </a:rPr>
            <a:pPr algn="l"/>
            <a:t>Donated or Conveyed Property</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twoCellAnchor editAs="oneCell">
    <xdr:from>
      <xdr:col>7</xdr:col>
      <xdr:colOff>66676</xdr:colOff>
      <xdr:row>25</xdr:row>
      <xdr:rowOff>247650</xdr:rowOff>
    </xdr:from>
    <xdr:to>
      <xdr:col>24</xdr:col>
      <xdr:colOff>104775</xdr:colOff>
      <xdr:row>37</xdr:row>
      <xdr:rowOff>66674</xdr:rowOff>
    </xdr:to>
    <xdr:grpSp>
      <xdr:nvGrpSpPr>
        <xdr:cNvPr id="397" name="SECTION_GROUP">
          <a:extLst>
            <a:ext uri="{FF2B5EF4-FFF2-40B4-BE49-F238E27FC236}">
              <a16:creationId xmlns:a16="http://schemas.microsoft.com/office/drawing/2014/main" id="{00000000-0008-0000-0100-00008D010000}"/>
            </a:ext>
          </a:extLst>
        </xdr:cNvPr>
        <xdr:cNvGrpSpPr/>
      </xdr:nvGrpSpPr>
      <xdr:grpSpPr>
        <a:xfrm>
          <a:off x="66676" y="6296025"/>
          <a:ext cx="7362824" cy="3133724"/>
          <a:chOff x="9363075" y="17306809"/>
          <a:chExt cx="7362825" cy="3373216"/>
        </a:xfrm>
      </xdr:grpSpPr>
      <xdr:sp macro="" textlink="$B$18">
        <xdr:nvSpPr>
          <xdr:cNvPr id="398" name="SECTION_GROUP_TITLE">
            <a:extLst>
              <a:ext uri="{FF2B5EF4-FFF2-40B4-BE49-F238E27FC236}">
                <a16:creationId xmlns:a16="http://schemas.microsoft.com/office/drawing/2014/main" id="{00000000-0008-0000-0100-00008E01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CAAE38C3-66AC-40FF-B498-4E7E3D9E22E9}" type="TxLink">
              <a:rPr lang="en-US" sz="1000" b="1" i="0" u="none" strike="noStrike">
                <a:solidFill>
                  <a:srgbClr val="FFFFFF"/>
                </a:solidFill>
                <a:latin typeface="Arial" pitchFamily="34" charset="0"/>
                <a:cs typeface="Arial" pitchFamily="34" charset="0"/>
              </a:rPr>
              <a:pPr algn="l"/>
              <a:t>Project Location</a:t>
            </a:fld>
            <a:endParaRPr lang="en-US" sz="1000" b="1" i="0" u="none" strike="noStrike">
              <a:solidFill>
                <a:schemeClr val="bg1"/>
              </a:solidFill>
              <a:latin typeface="Arial" pitchFamily="34" charset="0"/>
              <a:cs typeface="Arial" pitchFamily="34" charset="0"/>
            </a:endParaRPr>
          </a:p>
        </xdr:txBody>
      </xdr:sp>
      <xdr:sp macro="" textlink="">
        <xdr:nvSpPr>
          <xdr:cNvPr id="399" name="SECTION_GROUP_FRAME">
            <a:extLst>
              <a:ext uri="{FF2B5EF4-FFF2-40B4-BE49-F238E27FC236}">
                <a16:creationId xmlns:a16="http://schemas.microsoft.com/office/drawing/2014/main" id="{00000000-0008-0000-0100-00008F010000}"/>
              </a:ext>
            </a:extLst>
          </xdr:cNvPr>
          <xdr:cNvSpPr/>
        </xdr:nvSpPr>
        <xdr:spPr>
          <a:xfrm>
            <a:off x="9363075" y="17641465"/>
            <a:ext cx="7362825" cy="3038560"/>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32">
        <xdr:nvSpPr>
          <xdr:cNvPr id="400" name="SECTION_GROUP_SUBTITLE">
            <a:extLst>
              <a:ext uri="{FF2B5EF4-FFF2-40B4-BE49-F238E27FC236}">
                <a16:creationId xmlns:a16="http://schemas.microsoft.com/office/drawing/2014/main" id="{00000000-0008-0000-0100-000090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4E5E8887-BB8B-4361-A6F3-0A9EFAC41882}" type="TxLink">
              <a:rPr lang="en-US" sz="800" b="0" i="0" u="none" strike="noStrike">
                <a:solidFill>
                  <a:srgbClr val="000000"/>
                </a:solidFill>
                <a:latin typeface="Arial" pitchFamily="34" charset="0"/>
                <a:cs typeface="Arial" pitchFamily="34" charset="0"/>
              </a:rPr>
              <a:pPr algn="r"/>
              <a:t>Not Started</a:t>
            </a:fld>
            <a:endParaRPr lang="en-US" sz="1050" b="0" i="0">
              <a:latin typeface="Arial" pitchFamily="34" charset="0"/>
              <a:cs typeface="Arial" pitchFamily="34" charset="0"/>
            </a:endParaRPr>
          </a:p>
        </xdr:txBody>
      </xdr:sp>
      <xdr:sp macro="" textlink="">
        <xdr:nvSpPr>
          <xdr:cNvPr id="401" name="SECTION_GROUP_SUBTITLE_LABEL">
            <a:extLst>
              <a:ext uri="{FF2B5EF4-FFF2-40B4-BE49-F238E27FC236}">
                <a16:creationId xmlns:a16="http://schemas.microsoft.com/office/drawing/2014/main" id="{00000000-0008-0000-0100-000091010000}"/>
              </a:ext>
            </a:extLst>
          </xdr:cNvPr>
          <xdr:cNvSpPr txBox="1"/>
        </xdr:nvSpPr>
        <xdr:spPr>
          <a:xfrm>
            <a:off x="15630526"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66676</xdr:colOff>
      <xdr:row>37</xdr:row>
      <xdr:rowOff>238125</xdr:rowOff>
    </xdr:from>
    <xdr:to>
      <xdr:col>24</xdr:col>
      <xdr:colOff>104775</xdr:colOff>
      <xdr:row>50</xdr:row>
      <xdr:rowOff>95250</xdr:rowOff>
    </xdr:to>
    <xdr:grpSp>
      <xdr:nvGrpSpPr>
        <xdr:cNvPr id="392" name="SECTION_GROUP">
          <a:extLst>
            <a:ext uri="{FF2B5EF4-FFF2-40B4-BE49-F238E27FC236}">
              <a16:creationId xmlns:a16="http://schemas.microsoft.com/office/drawing/2014/main" id="{00000000-0008-0000-0100-000088010000}"/>
            </a:ext>
          </a:extLst>
        </xdr:cNvPr>
        <xdr:cNvGrpSpPr/>
      </xdr:nvGrpSpPr>
      <xdr:grpSpPr>
        <a:xfrm>
          <a:off x="66676" y="9601200"/>
          <a:ext cx="7362824" cy="3448050"/>
          <a:chOff x="9363075" y="17306809"/>
          <a:chExt cx="7362825" cy="3711564"/>
        </a:xfrm>
      </xdr:grpSpPr>
      <xdr:sp macro="" textlink="$B$37">
        <xdr:nvSpPr>
          <xdr:cNvPr id="393" name="SECTION_GROUP_TITLE">
            <a:extLst>
              <a:ext uri="{FF2B5EF4-FFF2-40B4-BE49-F238E27FC236}">
                <a16:creationId xmlns:a16="http://schemas.microsoft.com/office/drawing/2014/main" id="{00000000-0008-0000-0100-00008901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FADD5778-91AA-44F8-8001-44AAEBEBC650}" type="TxLink">
              <a:rPr lang="en-US" sz="1000" b="1" i="0" u="none" strike="noStrike">
                <a:solidFill>
                  <a:srgbClr val="FFFFFF"/>
                </a:solidFill>
                <a:latin typeface="Arial" pitchFamily="34" charset="0"/>
                <a:cs typeface="Arial" pitchFamily="34" charset="0"/>
              </a:rPr>
              <a:pPr algn="l"/>
              <a:t>Member Information</a:t>
            </a:fld>
            <a:endParaRPr lang="en-US" sz="1000" b="1" i="0" u="none" strike="noStrike">
              <a:solidFill>
                <a:schemeClr val="bg1"/>
              </a:solidFill>
              <a:latin typeface="Arial" pitchFamily="34" charset="0"/>
              <a:cs typeface="Arial" pitchFamily="34" charset="0"/>
            </a:endParaRPr>
          </a:p>
        </xdr:txBody>
      </xdr:sp>
      <xdr:sp macro="" textlink="">
        <xdr:nvSpPr>
          <xdr:cNvPr id="394" name="SECTION_GROUP_FRAME">
            <a:extLst>
              <a:ext uri="{FF2B5EF4-FFF2-40B4-BE49-F238E27FC236}">
                <a16:creationId xmlns:a16="http://schemas.microsoft.com/office/drawing/2014/main" id="{00000000-0008-0000-0100-00008A010000}"/>
              </a:ext>
            </a:extLst>
          </xdr:cNvPr>
          <xdr:cNvSpPr/>
        </xdr:nvSpPr>
        <xdr:spPr>
          <a:xfrm>
            <a:off x="9363075" y="17641465"/>
            <a:ext cx="7362825" cy="3376908"/>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52">
        <xdr:nvSpPr>
          <xdr:cNvPr id="395" name="SECTION_GROUP_SUBTITLE">
            <a:extLst>
              <a:ext uri="{FF2B5EF4-FFF2-40B4-BE49-F238E27FC236}">
                <a16:creationId xmlns:a16="http://schemas.microsoft.com/office/drawing/2014/main" id="{00000000-0008-0000-0100-00008B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E4C9922D-EDFB-48CE-9854-C5ED57C564A4}" type="TxLink">
              <a:rPr lang="en-US" sz="800" b="0" i="0" u="none" strike="noStrike">
                <a:solidFill>
                  <a:srgbClr val="000000"/>
                </a:solidFill>
                <a:latin typeface="Arial" pitchFamily="34" charset="0"/>
                <a:cs typeface="Arial" pitchFamily="34" charset="0"/>
              </a:rPr>
              <a:pPr algn="r"/>
              <a:t>Not Started</a:t>
            </a:fld>
            <a:endParaRPr lang="en-US" sz="1050" b="0" i="0">
              <a:latin typeface="Arial" pitchFamily="34" charset="0"/>
              <a:cs typeface="Arial" pitchFamily="34" charset="0"/>
            </a:endParaRPr>
          </a:p>
        </xdr:txBody>
      </xdr:sp>
      <xdr:sp macro="" textlink="">
        <xdr:nvSpPr>
          <xdr:cNvPr id="396" name="SECTION_GROUP_SUBTITLE_LABEL">
            <a:extLst>
              <a:ext uri="{FF2B5EF4-FFF2-40B4-BE49-F238E27FC236}">
                <a16:creationId xmlns:a16="http://schemas.microsoft.com/office/drawing/2014/main" id="{00000000-0008-0000-0100-00008C010000}"/>
              </a:ext>
            </a:extLst>
          </xdr:cNvPr>
          <xdr:cNvSpPr txBox="1"/>
        </xdr:nvSpPr>
        <xdr:spPr>
          <a:xfrm>
            <a:off x="15621001"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66676</xdr:colOff>
      <xdr:row>50</xdr:row>
      <xdr:rowOff>238126</xdr:rowOff>
    </xdr:from>
    <xdr:to>
      <xdr:col>24</xdr:col>
      <xdr:colOff>104775</xdr:colOff>
      <xdr:row>63</xdr:row>
      <xdr:rowOff>76200</xdr:rowOff>
    </xdr:to>
    <xdr:grpSp>
      <xdr:nvGrpSpPr>
        <xdr:cNvPr id="387" name="SECTION_GROUP">
          <a:extLst>
            <a:ext uri="{FF2B5EF4-FFF2-40B4-BE49-F238E27FC236}">
              <a16:creationId xmlns:a16="http://schemas.microsoft.com/office/drawing/2014/main" id="{00000000-0008-0000-0100-000083010000}"/>
            </a:ext>
          </a:extLst>
        </xdr:cNvPr>
        <xdr:cNvGrpSpPr/>
      </xdr:nvGrpSpPr>
      <xdr:grpSpPr>
        <a:xfrm>
          <a:off x="66676" y="13192126"/>
          <a:ext cx="7362824" cy="3428999"/>
          <a:chOff x="9363075" y="17306809"/>
          <a:chExt cx="7362825" cy="3691057"/>
        </a:xfrm>
      </xdr:grpSpPr>
      <xdr:sp macro="" textlink="$B$57">
        <xdr:nvSpPr>
          <xdr:cNvPr id="388" name="SECTION_GROUP_TITLE">
            <a:extLst>
              <a:ext uri="{FF2B5EF4-FFF2-40B4-BE49-F238E27FC236}">
                <a16:creationId xmlns:a16="http://schemas.microsoft.com/office/drawing/2014/main" id="{00000000-0008-0000-0100-00008401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15D0AF0E-AE2D-4DC3-92BC-A01C7728A6D3}" type="TxLink">
              <a:rPr lang="en-US" sz="1000" b="1" i="0" u="none" strike="noStrike">
                <a:solidFill>
                  <a:srgbClr val="FFFFFF"/>
                </a:solidFill>
                <a:latin typeface="Arial" pitchFamily="34" charset="0"/>
                <a:cs typeface="Arial" pitchFamily="34" charset="0"/>
              </a:rPr>
              <a:pPr algn="l"/>
              <a:t>Sponsor Information</a:t>
            </a:fld>
            <a:endParaRPr lang="en-US" sz="1000" b="1" i="0" u="none" strike="noStrike">
              <a:solidFill>
                <a:schemeClr val="bg1"/>
              </a:solidFill>
              <a:latin typeface="Arial" pitchFamily="34" charset="0"/>
              <a:cs typeface="Arial" pitchFamily="34" charset="0"/>
            </a:endParaRPr>
          </a:p>
        </xdr:txBody>
      </xdr:sp>
      <xdr:sp macro="" textlink="">
        <xdr:nvSpPr>
          <xdr:cNvPr id="389" name="SECTION_GROUP_FRAME">
            <a:extLst>
              <a:ext uri="{FF2B5EF4-FFF2-40B4-BE49-F238E27FC236}">
                <a16:creationId xmlns:a16="http://schemas.microsoft.com/office/drawing/2014/main" id="{00000000-0008-0000-0100-000085010000}"/>
              </a:ext>
            </a:extLst>
          </xdr:cNvPr>
          <xdr:cNvSpPr/>
        </xdr:nvSpPr>
        <xdr:spPr>
          <a:xfrm>
            <a:off x="9363075" y="17641465"/>
            <a:ext cx="7362825" cy="3356401"/>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72">
        <xdr:nvSpPr>
          <xdr:cNvPr id="390" name="SECTION_GROUP_SUBTITLE">
            <a:extLst>
              <a:ext uri="{FF2B5EF4-FFF2-40B4-BE49-F238E27FC236}">
                <a16:creationId xmlns:a16="http://schemas.microsoft.com/office/drawing/2014/main" id="{00000000-0008-0000-0100-000086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42F4773F-DAE3-414B-A7BE-AACBEA5DAC9E}" type="TxLink">
              <a:rPr lang="en-US" sz="800" b="0" i="0" u="none" strike="noStrike">
                <a:solidFill>
                  <a:srgbClr val="000000"/>
                </a:solidFill>
                <a:latin typeface="Arial" pitchFamily="34" charset="0"/>
                <a:cs typeface="Arial" pitchFamily="34" charset="0"/>
              </a:rPr>
              <a:pPr algn="r"/>
              <a:t>Not Started</a:t>
            </a:fld>
            <a:endParaRPr lang="en-US" sz="1050" b="0" i="0">
              <a:latin typeface="Arial" pitchFamily="34" charset="0"/>
              <a:cs typeface="Arial" pitchFamily="34" charset="0"/>
            </a:endParaRPr>
          </a:p>
        </xdr:txBody>
      </xdr:sp>
      <xdr:sp macro="" textlink="">
        <xdr:nvSpPr>
          <xdr:cNvPr id="391" name="SECTION_GROUP_SUBTITLE_LABEL">
            <a:extLst>
              <a:ext uri="{FF2B5EF4-FFF2-40B4-BE49-F238E27FC236}">
                <a16:creationId xmlns:a16="http://schemas.microsoft.com/office/drawing/2014/main" id="{00000000-0008-0000-0100-000087010000}"/>
              </a:ext>
            </a:extLst>
          </xdr:cNvPr>
          <xdr:cNvSpPr txBox="1"/>
        </xdr:nvSpPr>
        <xdr:spPr>
          <a:xfrm>
            <a:off x="15630526" y="17650982"/>
            <a:ext cx="476249" cy="2939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66676</xdr:colOff>
      <xdr:row>63</xdr:row>
      <xdr:rowOff>247649</xdr:rowOff>
    </xdr:from>
    <xdr:to>
      <xdr:col>24</xdr:col>
      <xdr:colOff>104775</xdr:colOff>
      <xdr:row>90</xdr:row>
      <xdr:rowOff>76201</xdr:rowOff>
    </xdr:to>
    <xdr:grpSp>
      <xdr:nvGrpSpPr>
        <xdr:cNvPr id="382" name="SECTION_GROUP">
          <a:extLst>
            <a:ext uri="{FF2B5EF4-FFF2-40B4-BE49-F238E27FC236}">
              <a16:creationId xmlns:a16="http://schemas.microsoft.com/office/drawing/2014/main" id="{00000000-0008-0000-0100-00007E010000}"/>
            </a:ext>
          </a:extLst>
        </xdr:cNvPr>
        <xdr:cNvGrpSpPr/>
      </xdr:nvGrpSpPr>
      <xdr:grpSpPr>
        <a:xfrm>
          <a:off x="66676" y="16792574"/>
          <a:ext cx="7362824" cy="7286627"/>
          <a:chOff x="9363075" y="17306809"/>
          <a:chExt cx="7362825" cy="7843502"/>
        </a:xfrm>
      </xdr:grpSpPr>
      <xdr:sp macro="" textlink="$B$77">
        <xdr:nvSpPr>
          <xdr:cNvPr id="384" name="SECTION_GROUP_TITLE">
            <a:extLst>
              <a:ext uri="{FF2B5EF4-FFF2-40B4-BE49-F238E27FC236}">
                <a16:creationId xmlns:a16="http://schemas.microsoft.com/office/drawing/2014/main" id="{00000000-0008-0000-0100-00008001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2224AD2D-083F-4D30-AEF1-F9B397C041A1}" type="TxLink">
              <a:rPr lang="en-US" sz="1000" b="1" i="0" u="none" strike="noStrike">
                <a:solidFill>
                  <a:srgbClr val="FFFFFF"/>
                </a:solidFill>
                <a:latin typeface="Arial" pitchFamily="34" charset="0"/>
                <a:cs typeface="Arial" pitchFamily="34" charset="0"/>
              </a:rPr>
              <a:pPr algn="l"/>
              <a:t>Subsidy Request</a:t>
            </a:fld>
            <a:endParaRPr lang="en-US" sz="1000" b="1" i="0" u="none" strike="noStrike">
              <a:solidFill>
                <a:schemeClr val="bg1"/>
              </a:solidFill>
              <a:latin typeface="Arial" pitchFamily="34" charset="0"/>
              <a:cs typeface="Arial" pitchFamily="34" charset="0"/>
            </a:endParaRPr>
          </a:p>
        </xdr:txBody>
      </xdr:sp>
      <xdr:sp macro="" textlink="">
        <xdr:nvSpPr>
          <xdr:cNvPr id="383" name="SECTION_GROUP_FRAME">
            <a:extLst>
              <a:ext uri="{FF2B5EF4-FFF2-40B4-BE49-F238E27FC236}">
                <a16:creationId xmlns:a16="http://schemas.microsoft.com/office/drawing/2014/main" id="{00000000-0008-0000-0100-00007F010000}"/>
              </a:ext>
            </a:extLst>
          </xdr:cNvPr>
          <xdr:cNvSpPr/>
        </xdr:nvSpPr>
        <xdr:spPr>
          <a:xfrm>
            <a:off x="9363075" y="17641466"/>
            <a:ext cx="7362825" cy="7508845"/>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103">
        <xdr:nvSpPr>
          <xdr:cNvPr id="385" name="SECTION_GROUP_SUBTITLE">
            <a:extLst>
              <a:ext uri="{FF2B5EF4-FFF2-40B4-BE49-F238E27FC236}">
                <a16:creationId xmlns:a16="http://schemas.microsoft.com/office/drawing/2014/main" id="{00000000-0008-0000-0100-000081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2E256CE4-A9D8-4564-AAAE-F75FA0A9347B}" type="TxLink">
              <a:rPr lang="en-US" sz="800" b="0" i="0" u="none" strike="noStrike">
                <a:solidFill>
                  <a:srgbClr val="000000"/>
                </a:solidFill>
                <a:latin typeface="Arial" pitchFamily="34" charset="0"/>
                <a:cs typeface="Arial" pitchFamily="34" charset="0"/>
              </a:rPr>
              <a:pPr algn="r"/>
              <a:t>Not Started</a:t>
            </a:fld>
            <a:endParaRPr lang="en-US" sz="1050" b="0" i="0">
              <a:latin typeface="Arial" pitchFamily="34" charset="0"/>
              <a:cs typeface="Arial" pitchFamily="34" charset="0"/>
            </a:endParaRPr>
          </a:p>
        </xdr:txBody>
      </xdr:sp>
      <xdr:sp macro="" textlink="">
        <xdr:nvSpPr>
          <xdr:cNvPr id="386" name="SECTION_GROUP_SUBTITLE_LABEL">
            <a:extLst>
              <a:ext uri="{FF2B5EF4-FFF2-40B4-BE49-F238E27FC236}">
                <a16:creationId xmlns:a16="http://schemas.microsoft.com/office/drawing/2014/main" id="{00000000-0008-0000-0100-000082010000}"/>
              </a:ext>
            </a:extLst>
          </xdr:cNvPr>
          <xdr:cNvSpPr txBox="1"/>
        </xdr:nvSpPr>
        <xdr:spPr>
          <a:xfrm>
            <a:off x="15621001"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66676</xdr:colOff>
      <xdr:row>90</xdr:row>
      <xdr:rowOff>247651</xdr:rowOff>
    </xdr:from>
    <xdr:to>
      <xdr:col>24</xdr:col>
      <xdr:colOff>104775</xdr:colOff>
      <xdr:row>104</xdr:row>
      <xdr:rowOff>47626</xdr:rowOff>
    </xdr:to>
    <xdr:grpSp>
      <xdr:nvGrpSpPr>
        <xdr:cNvPr id="377" name="SECTION_GROUP">
          <a:extLst>
            <a:ext uri="{FF2B5EF4-FFF2-40B4-BE49-F238E27FC236}">
              <a16:creationId xmlns:a16="http://schemas.microsoft.com/office/drawing/2014/main" id="{00000000-0008-0000-0100-000079010000}"/>
            </a:ext>
          </a:extLst>
        </xdr:cNvPr>
        <xdr:cNvGrpSpPr/>
      </xdr:nvGrpSpPr>
      <xdr:grpSpPr>
        <a:xfrm>
          <a:off x="66676" y="24250651"/>
          <a:ext cx="7362824" cy="3667125"/>
          <a:chOff x="9363075" y="17306809"/>
          <a:chExt cx="7362825" cy="3947382"/>
        </a:xfrm>
      </xdr:grpSpPr>
      <xdr:sp macro="" textlink="">
        <xdr:nvSpPr>
          <xdr:cNvPr id="378" name="SECTION_GROUP_FRAME">
            <a:extLst>
              <a:ext uri="{FF2B5EF4-FFF2-40B4-BE49-F238E27FC236}">
                <a16:creationId xmlns:a16="http://schemas.microsoft.com/office/drawing/2014/main" id="{00000000-0008-0000-0100-00007A010000}"/>
              </a:ext>
            </a:extLst>
          </xdr:cNvPr>
          <xdr:cNvSpPr/>
        </xdr:nvSpPr>
        <xdr:spPr>
          <a:xfrm>
            <a:off x="9363075" y="17641465"/>
            <a:ext cx="7362825" cy="3612726"/>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108">
        <xdr:nvSpPr>
          <xdr:cNvPr id="379" name="SECTION_GROUP_TITLE">
            <a:extLst>
              <a:ext uri="{FF2B5EF4-FFF2-40B4-BE49-F238E27FC236}">
                <a16:creationId xmlns:a16="http://schemas.microsoft.com/office/drawing/2014/main" id="{00000000-0008-0000-0100-00007B01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20C6431E-2C4B-4CE9-B3EC-1E65E52945D1}" type="TxLink">
              <a:rPr lang="en-US" sz="1000" b="1" i="0" u="none" strike="noStrike">
                <a:solidFill>
                  <a:srgbClr val="FFFFFF"/>
                </a:solidFill>
                <a:latin typeface="Arial" pitchFamily="34" charset="0"/>
                <a:cs typeface="Arial" pitchFamily="34" charset="0"/>
              </a:rPr>
              <a:pPr algn="l"/>
              <a:t>Application Webinars and Technical Assistance</a:t>
            </a:fld>
            <a:endParaRPr lang="en-US" sz="1000" b="1" i="0" u="none" strike="noStrike">
              <a:solidFill>
                <a:schemeClr val="bg1"/>
              </a:solidFill>
              <a:latin typeface="Arial" pitchFamily="34" charset="0"/>
              <a:cs typeface="Arial" pitchFamily="34" charset="0"/>
            </a:endParaRPr>
          </a:p>
        </xdr:txBody>
      </xdr:sp>
      <xdr:sp macro="" textlink="$B$120">
        <xdr:nvSpPr>
          <xdr:cNvPr id="380" name="SECTION_GROUP_SUBTITLE">
            <a:extLst>
              <a:ext uri="{FF2B5EF4-FFF2-40B4-BE49-F238E27FC236}">
                <a16:creationId xmlns:a16="http://schemas.microsoft.com/office/drawing/2014/main" id="{00000000-0008-0000-0100-00007C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3DD97D7A-A00C-423A-A86E-1D08840F2B2F}" type="TxLink">
              <a:rPr lang="en-US" sz="800" b="0" i="0" u="none" strike="noStrike">
                <a:solidFill>
                  <a:srgbClr val="000000"/>
                </a:solidFill>
                <a:latin typeface="Arial" pitchFamily="34" charset="0"/>
                <a:cs typeface="Arial" pitchFamily="34" charset="0"/>
              </a:rPr>
              <a:pPr algn="r"/>
              <a:t>Not Started</a:t>
            </a:fld>
            <a:endParaRPr lang="en-US" sz="1050" b="0" i="0">
              <a:latin typeface="Arial" pitchFamily="34" charset="0"/>
              <a:cs typeface="Arial" pitchFamily="34" charset="0"/>
            </a:endParaRPr>
          </a:p>
        </xdr:txBody>
      </xdr:sp>
      <xdr:sp macro="" textlink="">
        <xdr:nvSpPr>
          <xdr:cNvPr id="381" name="SECTION_GROUP_SUBTITLE_LABEL">
            <a:extLst>
              <a:ext uri="{FF2B5EF4-FFF2-40B4-BE49-F238E27FC236}">
                <a16:creationId xmlns:a16="http://schemas.microsoft.com/office/drawing/2014/main" id="{00000000-0008-0000-0100-00007D010000}"/>
              </a:ext>
            </a:extLst>
          </xdr:cNvPr>
          <xdr:cNvSpPr txBox="1"/>
        </xdr:nvSpPr>
        <xdr:spPr>
          <a:xfrm>
            <a:off x="15621001"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76201</xdr:colOff>
      <xdr:row>104</xdr:row>
      <xdr:rowOff>219073</xdr:rowOff>
    </xdr:from>
    <xdr:to>
      <xdr:col>24</xdr:col>
      <xdr:colOff>114300</xdr:colOff>
      <xdr:row>240</xdr:row>
      <xdr:rowOff>142874</xdr:rowOff>
    </xdr:to>
    <xdr:grpSp>
      <xdr:nvGrpSpPr>
        <xdr:cNvPr id="372" name="SECTION_GROUP">
          <a:extLst>
            <a:ext uri="{FF2B5EF4-FFF2-40B4-BE49-F238E27FC236}">
              <a16:creationId xmlns:a16="http://schemas.microsoft.com/office/drawing/2014/main" id="{00000000-0008-0000-0100-000074010000}"/>
            </a:ext>
          </a:extLst>
        </xdr:cNvPr>
        <xdr:cNvGrpSpPr/>
      </xdr:nvGrpSpPr>
      <xdr:grpSpPr>
        <a:xfrm>
          <a:off x="76201" y="28089223"/>
          <a:ext cx="7362824" cy="37490401"/>
          <a:chOff x="9363075" y="17306809"/>
          <a:chExt cx="7362825" cy="38527670"/>
        </a:xfrm>
      </xdr:grpSpPr>
      <xdr:sp macro="" textlink="">
        <xdr:nvSpPr>
          <xdr:cNvPr id="373" name="SECTION_GROUP_FRAME">
            <a:extLst>
              <a:ext uri="{FF2B5EF4-FFF2-40B4-BE49-F238E27FC236}">
                <a16:creationId xmlns:a16="http://schemas.microsoft.com/office/drawing/2014/main" id="{00000000-0008-0000-0100-000075010000}"/>
              </a:ext>
            </a:extLst>
          </xdr:cNvPr>
          <xdr:cNvSpPr/>
        </xdr:nvSpPr>
        <xdr:spPr>
          <a:xfrm>
            <a:off x="9363075" y="17641463"/>
            <a:ext cx="7362825" cy="38193016"/>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125">
        <xdr:nvSpPr>
          <xdr:cNvPr id="374" name="SECTION_GROUP_TITLE">
            <a:extLst>
              <a:ext uri="{FF2B5EF4-FFF2-40B4-BE49-F238E27FC236}">
                <a16:creationId xmlns:a16="http://schemas.microsoft.com/office/drawing/2014/main" id="{00000000-0008-0000-0100-00007601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83FA5200-DDEA-40AA-A4B9-290293E3E040}" type="TxLink">
              <a:rPr lang="en-US" sz="1000" b="1" i="0" u="none" strike="noStrike">
                <a:solidFill>
                  <a:srgbClr val="FFFFFF"/>
                </a:solidFill>
                <a:latin typeface="Arial" pitchFamily="34" charset="0"/>
                <a:cs typeface="Arial" pitchFamily="34" charset="0"/>
              </a:rPr>
              <a:pPr algn="l"/>
              <a:t>Project Type and Characteristics</a:t>
            </a:fld>
            <a:endParaRPr lang="en-US" sz="1000" b="1" i="0" u="none" strike="noStrike">
              <a:solidFill>
                <a:schemeClr val="bg1"/>
              </a:solidFill>
              <a:latin typeface="Arial" pitchFamily="34" charset="0"/>
              <a:cs typeface="Arial" pitchFamily="34" charset="0"/>
            </a:endParaRPr>
          </a:p>
        </xdr:txBody>
      </xdr:sp>
      <xdr:sp macro="" textlink="$B$169">
        <xdr:nvSpPr>
          <xdr:cNvPr id="375" name="SECTION_GROUP_SUBTITLE">
            <a:extLst>
              <a:ext uri="{FF2B5EF4-FFF2-40B4-BE49-F238E27FC236}">
                <a16:creationId xmlns:a16="http://schemas.microsoft.com/office/drawing/2014/main" id="{00000000-0008-0000-0100-000077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E9A53A8D-EB69-4F1E-A876-6ED2AAE53813}" type="TxLink">
              <a:rPr lang="en-US" sz="800" b="0" i="0" u="none" strike="noStrike">
                <a:solidFill>
                  <a:srgbClr val="000000"/>
                </a:solidFill>
                <a:latin typeface="Arial" pitchFamily="34" charset="0"/>
                <a:cs typeface="Arial" pitchFamily="34" charset="0"/>
              </a:rPr>
              <a:pPr algn="r"/>
              <a:t>Not Started</a:t>
            </a:fld>
            <a:endParaRPr lang="en-US" sz="1050" b="0" i="0">
              <a:latin typeface="Arial" pitchFamily="34" charset="0"/>
              <a:cs typeface="Arial" pitchFamily="34" charset="0"/>
            </a:endParaRPr>
          </a:p>
        </xdr:txBody>
      </xdr:sp>
      <xdr:sp macro="" textlink="">
        <xdr:nvSpPr>
          <xdr:cNvPr id="376" name="SECTION_GROUP_SUBTITLE_LABEL">
            <a:extLst>
              <a:ext uri="{FF2B5EF4-FFF2-40B4-BE49-F238E27FC236}">
                <a16:creationId xmlns:a16="http://schemas.microsoft.com/office/drawing/2014/main" id="{00000000-0008-0000-0100-000078010000}"/>
              </a:ext>
            </a:extLst>
          </xdr:cNvPr>
          <xdr:cNvSpPr txBox="1"/>
        </xdr:nvSpPr>
        <xdr:spPr>
          <a:xfrm>
            <a:off x="15630526"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66676</xdr:colOff>
      <xdr:row>241</xdr:row>
      <xdr:rowOff>1</xdr:rowOff>
    </xdr:from>
    <xdr:to>
      <xdr:col>24</xdr:col>
      <xdr:colOff>104775</xdr:colOff>
      <xdr:row>256</xdr:row>
      <xdr:rowOff>152397</xdr:rowOff>
    </xdr:to>
    <xdr:grpSp>
      <xdr:nvGrpSpPr>
        <xdr:cNvPr id="367" name="SECTION_GROUP">
          <a:extLst>
            <a:ext uri="{FF2B5EF4-FFF2-40B4-BE49-F238E27FC236}">
              <a16:creationId xmlns:a16="http://schemas.microsoft.com/office/drawing/2014/main" id="{00000000-0008-0000-0100-00006F010000}"/>
            </a:ext>
          </a:extLst>
        </xdr:cNvPr>
        <xdr:cNvGrpSpPr/>
      </xdr:nvGrpSpPr>
      <xdr:grpSpPr>
        <a:xfrm>
          <a:off x="66676" y="65712976"/>
          <a:ext cx="7362824" cy="4295771"/>
          <a:chOff x="9363075" y="17306809"/>
          <a:chExt cx="7362825" cy="4983722"/>
        </a:xfrm>
      </xdr:grpSpPr>
      <xdr:sp macro="" textlink="">
        <xdr:nvSpPr>
          <xdr:cNvPr id="368" name="SECTION_GROUP_FRAME">
            <a:extLst>
              <a:ext uri="{FF2B5EF4-FFF2-40B4-BE49-F238E27FC236}">
                <a16:creationId xmlns:a16="http://schemas.microsoft.com/office/drawing/2014/main" id="{00000000-0008-0000-0100-000070010000}"/>
              </a:ext>
            </a:extLst>
          </xdr:cNvPr>
          <xdr:cNvSpPr/>
        </xdr:nvSpPr>
        <xdr:spPr>
          <a:xfrm>
            <a:off x="9363075" y="17641461"/>
            <a:ext cx="7362825" cy="4649070"/>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174">
        <xdr:nvSpPr>
          <xdr:cNvPr id="369" name="SECTION_GROUP_TITLE">
            <a:extLst>
              <a:ext uri="{FF2B5EF4-FFF2-40B4-BE49-F238E27FC236}">
                <a16:creationId xmlns:a16="http://schemas.microsoft.com/office/drawing/2014/main" id="{00000000-0008-0000-0100-00007101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49CFD029-D29E-4AFD-82F6-BD45E96ADA54}" type="TxLink">
              <a:rPr lang="en-US" sz="1000" b="1" i="0" u="none" strike="noStrike">
                <a:solidFill>
                  <a:srgbClr val="FFFFFF"/>
                </a:solidFill>
                <a:latin typeface="Arial" pitchFamily="34" charset="0"/>
                <a:cs typeface="Arial" pitchFamily="34" charset="0"/>
              </a:rPr>
              <a:pPr algn="l"/>
              <a:t>Timing and Use of Funds</a:t>
            </a:fld>
            <a:endParaRPr lang="en-US" sz="1000" b="1" i="0" u="none" strike="noStrike">
              <a:solidFill>
                <a:schemeClr val="bg1"/>
              </a:solidFill>
              <a:latin typeface="Arial" pitchFamily="34" charset="0"/>
              <a:cs typeface="Arial" pitchFamily="34" charset="0"/>
            </a:endParaRPr>
          </a:p>
        </xdr:txBody>
      </xdr:sp>
      <xdr:sp macro="" textlink="$B$189">
        <xdr:nvSpPr>
          <xdr:cNvPr id="370" name="SECTION_GROUP_SUBTITLE">
            <a:extLst>
              <a:ext uri="{FF2B5EF4-FFF2-40B4-BE49-F238E27FC236}">
                <a16:creationId xmlns:a16="http://schemas.microsoft.com/office/drawing/2014/main" id="{00000000-0008-0000-0100-000072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2A89CDB9-D8D7-4E82-BABC-173A1823DB6E}" type="TxLink">
              <a:rPr lang="en-US" sz="800" b="0" i="0" u="none" strike="noStrike">
                <a:solidFill>
                  <a:srgbClr val="000000"/>
                </a:solidFill>
                <a:latin typeface="Arial" pitchFamily="34" charset="0"/>
                <a:cs typeface="Arial" pitchFamily="34" charset="0"/>
              </a:rPr>
              <a:pPr algn="r"/>
              <a:t>Not Started</a:t>
            </a:fld>
            <a:endParaRPr lang="en-US" sz="1050" b="0" i="0">
              <a:latin typeface="Arial" pitchFamily="34" charset="0"/>
              <a:cs typeface="Arial" pitchFamily="34" charset="0"/>
            </a:endParaRPr>
          </a:p>
        </xdr:txBody>
      </xdr:sp>
      <xdr:sp macro="" textlink="">
        <xdr:nvSpPr>
          <xdr:cNvPr id="371" name="SECTION_GROUP_SUBTITLE_LABEL">
            <a:extLst>
              <a:ext uri="{FF2B5EF4-FFF2-40B4-BE49-F238E27FC236}">
                <a16:creationId xmlns:a16="http://schemas.microsoft.com/office/drawing/2014/main" id="{00000000-0008-0000-0100-000073010000}"/>
              </a:ext>
            </a:extLst>
          </xdr:cNvPr>
          <xdr:cNvSpPr txBox="1"/>
        </xdr:nvSpPr>
        <xdr:spPr>
          <a:xfrm>
            <a:off x="15611476" y="17650981"/>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66675</xdr:colOff>
      <xdr:row>256</xdr:row>
      <xdr:rowOff>247650</xdr:rowOff>
    </xdr:from>
    <xdr:to>
      <xdr:col>24</xdr:col>
      <xdr:colOff>104774</xdr:colOff>
      <xdr:row>289</xdr:row>
      <xdr:rowOff>66676</xdr:rowOff>
    </xdr:to>
    <xdr:grpSp>
      <xdr:nvGrpSpPr>
        <xdr:cNvPr id="357" name="SECTION_GROUP">
          <a:extLst>
            <a:ext uri="{FF2B5EF4-FFF2-40B4-BE49-F238E27FC236}">
              <a16:creationId xmlns:a16="http://schemas.microsoft.com/office/drawing/2014/main" id="{00000000-0008-0000-0100-000065010000}"/>
            </a:ext>
          </a:extLst>
        </xdr:cNvPr>
        <xdr:cNvGrpSpPr/>
      </xdr:nvGrpSpPr>
      <xdr:grpSpPr>
        <a:xfrm>
          <a:off x="66675" y="70104000"/>
          <a:ext cx="7362824" cy="8934451"/>
          <a:chOff x="9363075" y="17306808"/>
          <a:chExt cx="7362825" cy="9617259"/>
        </a:xfrm>
      </xdr:grpSpPr>
      <xdr:sp macro="" textlink="">
        <xdr:nvSpPr>
          <xdr:cNvPr id="358" name="SECTION_GROUP_FRAME">
            <a:extLst>
              <a:ext uri="{FF2B5EF4-FFF2-40B4-BE49-F238E27FC236}">
                <a16:creationId xmlns:a16="http://schemas.microsoft.com/office/drawing/2014/main" id="{00000000-0008-0000-0100-000066010000}"/>
              </a:ext>
            </a:extLst>
          </xdr:cNvPr>
          <xdr:cNvSpPr/>
        </xdr:nvSpPr>
        <xdr:spPr>
          <a:xfrm>
            <a:off x="9363075" y="17641464"/>
            <a:ext cx="7362825" cy="9282603"/>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194">
        <xdr:nvSpPr>
          <xdr:cNvPr id="359" name="SECTION_GROUP_TITLE">
            <a:extLst>
              <a:ext uri="{FF2B5EF4-FFF2-40B4-BE49-F238E27FC236}">
                <a16:creationId xmlns:a16="http://schemas.microsoft.com/office/drawing/2014/main" id="{00000000-0008-0000-0100-000067010000}"/>
              </a:ext>
            </a:extLst>
          </xdr:cNvPr>
          <xdr:cNvSpPr/>
        </xdr:nvSpPr>
        <xdr:spPr>
          <a:xfrm>
            <a:off x="9363075" y="17306808"/>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89EDD7D0-DA42-4517-BF54-58A898569A05}" type="TxLink">
              <a:rPr lang="en-US" sz="1000" b="1" i="0" u="none" strike="noStrike">
                <a:solidFill>
                  <a:srgbClr val="FFFFFF"/>
                </a:solidFill>
                <a:latin typeface="Arial" pitchFamily="34" charset="0"/>
                <a:cs typeface="Arial" pitchFamily="34" charset="0"/>
              </a:rPr>
              <a:pPr algn="l"/>
              <a:t>Member Involvement</a:t>
            </a:fld>
            <a:endParaRPr lang="en-US" sz="1000" b="1" i="0" u="none" strike="noStrike">
              <a:solidFill>
                <a:schemeClr val="bg1"/>
              </a:solidFill>
              <a:latin typeface="Arial" pitchFamily="34" charset="0"/>
              <a:cs typeface="Arial" pitchFamily="34" charset="0"/>
            </a:endParaRPr>
          </a:p>
        </xdr:txBody>
      </xdr:sp>
      <xdr:sp macro="" textlink="$B$213">
        <xdr:nvSpPr>
          <xdr:cNvPr id="360" name="SECTION_GROUP_SUBTITLE">
            <a:extLst>
              <a:ext uri="{FF2B5EF4-FFF2-40B4-BE49-F238E27FC236}">
                <a16:creationId xmlns:a16="http://schemas.microsoft.com/office/drawing/2014/main" id="{00000000-0008-0000-0100-000068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F98B4943-71A9-4BD0-9CE2-B843CB07CAB2}" type="TxLink">
              <a:rPr lang="en-US" sz="800" b="0" i="0" u="none" strike="noStrike">
                <a:solidFill>
                  <a:srgbClr val="000000"/>
                </a:solidFill>
                <a:latin typeface="Arial" pitchFamily="34" charset="0"/>
                <a:cs typeface="Arial" pitchFamily="34" charset="0"/>
              </a:rPr>
              <a:pPr algn="r"/>
              <a:t>Not Started</a:t>
            </a:fld>
            <a:endParaRPr lang="en-US" sz="1050" b="0" i="0">
              <a:latin typeface="Arial" pitchFamily="34" charset="0"/>
              <a:cs typeface="Arial" pitchFamily="34" charset="0"/>
            </a:endParaRPr>
          </a:p>
        </xdr:txBody>
      </xdr:sp>
      <xdr:sp macro="" textlink="">
        <xdr:nvSpPr>
          <xdr:cNvPr id="361" name="SECTION_GROUP_SUBTITLE_LABEL">
            <a:extLst>
              <a:ext uri="{FF2B5EF4-FFF2-40B4-BE49-F238E27FC236}">
                <a16:creationId xmlns:a16="http://schemas.microsoft.com/office/drawing/2014/main" id="{00000000-0008-0000-0100-000069010000}"/>
              </a:ext>
            </a:extLst>
          </xdr:cNvPr>
          <xdr:cNvSpPr txBox="1"/>
        </xdr:nvSpPr>
        <xdr:spPr>
          <a:xfrm>
            <a:off x="15621001"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66675</xdr:colOff>
      <xdr:row>364</xdr:row>
      <xdr:rowOff>238125</xdr:rowOff>
    </xdr:from>
    <xdr:to>
      <xdr:col>24</xdr:col>
      <xdr:colOff>104774</xdr:colOff>
      <xdr:row>476</xdr:row>
      <xdr:rowOff>76200</xdr:rowOff>
    </xdr:to>
    <xdr:grpSp>
      <xdr:nvGrpSpPr>
        <xdr:cNvPr id="346" name="SECTION_GROUP">
          <a:extLst>
            <a:ext uri="{FF2B5EF4-FFF2-40B4-BE49-F238E27FC236}">
              <a16:creationId xmlns:a16="http://schemas.microsoft.com/office/drawing/2014/main" id="{00000000-0008-0000-0100-00005A010000}"/>
            </a:ext>
          </a:extLst>
        </xdr:cNvPr>
        <xdr:cNvGrpSpPr/>
      </xdr:nvGrpSpPr>
      <xdr:grpSpPr>
        <a:xfrm>
          <a:off x="66675" y="105013125"/>
          <a:ext cx="7362824" cy="40719375"/>
          <a:chOff x="9363075" y="17306808"/>
          <a:chExt cx="7362825" cy="43831320"/>
        </a:xfrm>
      </xdr:grpSpPr>
      <xdr:sp macro="" textlink="">
        <xdr:nvSpPr>
          <xdr:cNvPr id="347" name="SECTION_GROUP_FRAME">
            <a:extLst>
              <a:ext uri="{FF2B5EF4-FFF2-40B4-BE49-F238E27FC236}">
                <a16:creationId xmlns:a16="http://schemas.microsoft.com/office/drawing/2014/main" id="{00000000-0008-0000-0100-00005B010000}"/>
              </a:ext>
            </a:extLst>
          </xdr:cNvPr>
          <xdr:cNvSpPr/>
        </xdr:nvSpPr>
        <xdr:spPr>
          <a:xfrm>
            <a:off x="9363075" y="17641463"/>
            <a:ext cx="7362825" cy="43496665"/>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239">
        <xdr:nvSpPr>
          <xdr:cNvPr id="348" name="SECTION_GROUP_TITLE">
            <a:extLst>
              <a:ext uri="{FF2B5EF4-FFF2-40B4-BE49-F238E27FC236}">
                <a16:creationId xmlns:a16="http://schemas.microsoft.com/office/drawing/2014/main" id="{00000000-0008-0000-0100-00005C010000}"/>
              </a:ext>
            </a:extLst>
          </xdr:cNvPr>
          <xdr:cNvSpPr/>
        </xdr:nvSpPr>
        <xdr:spPr>
          <a:xfrm>
            <a:off x="9363075" y="17306808"/>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83AF77EF-70BB-49CE-B6C8-77F364E59F86}" type="TxLink">
              <a:rPr lang="en-US" sz="1000" b="1" i="0" u="none" strike="noStrike">
                <a:solidFill>
                  <a:schemeClr val="bg1"/>
                </a:solidFill>
                <a:latin typeface="Arial" pitchFamily="34" charset="0"/>
                <a:cs typeface="Arial" pitchFamily="34" charset="0"/>
              </a:rPr>
              <a:pPr algn="l"/>
              <a:t>Development Partner(s)</a:t>
            </a:fld>
            <a:endParaRPr lang="en-US" sz="1000" b="1" i="0" u="none" strike="noStrike">
              <a:solidFill>
                <a:schemeClr val="bg1"/>
              </a:solidFill>
              <a:latin typeface="Arial" pitchFamily="34" charset="0"/>
              <a:cs typeface="Arial" pitchFamily="34" charset="0"/>
            </a:endParaRPr>
          </a:p>
        </xdr:txBody>
      </xdr:sp>
      <xdr:sp macro="" textlink="$B$259">
        <xdr:nvSpPr>
          <xdr:cNvPr id="349" name="SECTION_GROUP_SUBTITLE">
            <a:extLst>
              <a:ext uri="{FF2B5EF4-FFF2-40B4-BE49-F238E27FC236}">
                <a16:creationId xmlns:a16="http://schemas.microsoft.com/office/drawing/2014/main" id="{00000000-0008-0000-0100-00005D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4722ECF0-F94A-4BD1-B46C-257937190630}" type="TxLink">
              <a:rPr lang="en-US" sz="800" b="0" i="0" u="none" strike="noStrike">
                <a:solidFill>
                  <a:srgbClr val="000000"/>
                </a:solidFill>
                <a:latin typeface="Arial" pitchFamily="34" charset="0"/>
                <a:cs typeface="Arial" pitchFamily="34" charset="0"/>
              </a:rPr>
              <a:pPr algn="r"/>
              <a:t>Optional</a:t>
            </a:fld>
            <a:endParaRPr lang="en-US" sz="1050" b="0" i="0">
              <a:latin typeface="Arial" pitchFamily="34" charset="0"/>
              <a:cs typeface="Arial" pitchFamily="34" charset="0"/>
            </a:endParaRPr>
          </a:p>
        </xdr:txBody>
      </xdr:sp>
      <xdr:sp macro="" textlink="">
        <xdr:nvSpPr>
          <xdr:cNvPr id="350" name="SECTION_GROUP_SUBTITLE_LABEL">
            <a:extLst>
              <a:ext uri="{FF2B5EF4-FFF2-40B4-BE49-F238E27FC236}">
                <a16:creationId xmlns:a16="http://schemas.microsoft.com/office/drawing/2014/main" id="{00000000-0008-0000-0100-00005E010000}"/>
              </a:ext>
            </a:extLst>
          </xdr:cNvPr>
          <xdr:cNvSpPr txBox="1"/>
        </xdr:nvSpPr>
        <xdr:spPr>
          <a:xfrm>
            <a:off x="15640051"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66675</xdr:colOff>
      <xdr:row>289</xdr:row>
      <xdr:rowOff>238126</xdr:rowOff>
    </xdr:from>
    <xdr:to>
      <xdr:col>24</xdr:col>
      <xdr:colOff>104774</xdr:colOff>
      <xdr:row>364</xdr:row>
      <xdr:rowOff>85724</xdr:rowOff>
    </xdr:to>
    <xdr:grpSp>
      <xdr:nvGrpSpPr>
        <xdr:cNvPr id="351" name="SECTION_GROUP">
          <a:extLst>
            <a:ext uri="{FF2B5EF4-FFF2-40B4-BE49-F238E27FC236}">
              <a16:creationId xmlns:a16="http://schemas.microsoft.com/office/drawing/2014/main" id="{00000000-0008-0000-0100-00005F010000}"/>
            </a:ext>
          </a:extLst>
        </xdr:cNvPr>
        <xdr:cNvGrpSpPr/>
      </xdr:nvGrpSpPr>
      <xdr:grpSpPr>
        <a:xfrm>
          <a:off x="66675" y="79209901"/>
          <a:ext cx="7362824" cy="25650823"/>
          <a:chOff x="9363075" y="17306808"/>
          <a:chExt cx="7362825" cy="27615565"/>
        </a:xfrm>
      </xdr:grpSpPr>
      <xdr:sp macro="" textlink="">
        <xdr:nvSpPr>
          <xdr:cNvPr id="352" name="SECTION_GROUP_FRAME">
            <a:extLst>
              <a:ext uri="{FF2B5EF4-FFF2-40B4-BE49-F238E27FC236}">
                <a16:creationId xmlns:a16="http://schemas.microsoft.com/office/drawing/2014/main" id="{00000000-0008-0000-0100-000060010000}"/>
              </a:ext>
            </a:extLst>
          </xdr:cNvPr>
          <xdr:cNvSpPr/>
        </xdr:nvSpPr>
        <xdr:spPr>
          <a:xfrm>
            <a:off x="9363075" y="17641463"/>
            <a:ext cx="7362825" cy="27280910"/>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218">
        <xdr:nvSpPr>
          <xdr:cNvPr id="353" name="SECTION_GROUP_TITLE">
            <a:extLst>
              <a:ext uri="{FF2B5EF4-FFF2-40B4-BE49-F238E27FC236}">
                <a16:creationId xmlns:a16="http://schemas.microsoft.com/office/drawing/2014/main" id="{00000000-0008-0000-0100-000061010000}"/>
              </a:ext>
            </a:extLst>
          </xdr:cNvPr>
          <xdr:cNvSpPr/>
        </xdr:nvSpPr>
        <xdr:spPr>
          <a:xfrm>
            <a:off x="9363075" y="17306808"/>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FC03B83C-A3F9-4C27-9E15-70B2837D4B67}" type="TxLink">
              <a:rPr lang="en-US" sz="1000" b="1" i="0" u="none" strike="noStrike">
                <a:solidFill>
                  <a:srgbClr val="FFFFFF"/>
                </a:solidFill>
                <a:latin typeface="Arial" pitchFamily="34" charset="0"/>
                <a:cs typeface="Arial" pitchFamily="34" charset="0"/>
              </a:rPr>
              <a:pPr algn="l"/>
              <a:t>Project Sponsor Profile</a:t>
            </a:fld>
            <a:endParaRPr lang="en-US" sz="1000" b="1" i="0" u="none" strike="noStrike">
              <a:solidFill>
                <a:schemeClr val="bg1"/>
              </a:solidFill>
              <a:latin typeface="Arial" pitchFamily="34" charset="0"/>
              <a:cs typeface="Arial" pitchFamily="34" charset="0"/>
            </a:endParaRPr>
          </a:p>
        </xdr:txBody>
      </xdr:sp>
      <xdr:sp macro="" textlink="$B$233">
        <xdr:nvSpPr>
          <xdr:cNvPr id="354" name="SECTION_GROUP_SUBTITLE">
            <a:extLst>
              <a:ext uri="{FF2B5EF4-FFF2-40B4-BE49-F238E27FC236}">
                <a16:creationId xmlns:a16="http://schemas.microsoft.com/office/drawing/2014/main" id="{00000000-0008-0000-0100-000062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9B5AAC33-628E-4197-9B73-FA288295235F}" type="TxLink">
              <a:rPr lang="en-US" sz="800" b="0" i="0" u="none" strike="noStrike">
                <a:solidFill>
                  <a:srgbClr val="000000"/>
                </a:solidFill>
                <a:latin typeface="Arial" pitchFamily="34" charset="0"/>
                <a:cs typeface="Arial" pitchFamily="34" charset="0"/>
              </a:rPr>
              <a:pPr algn="r"/>
              <a:t>Not Started</a:t>
            </a:fld>
            <a:endParaRPr lang="en-US" sz="1050" b="0" i="0">
              <a:latin typeface="Arial" pitchFamily="34" charset="0"/>
              <a:cs typeface="Arial" pitchFamily="34" charset="0"/>
            </a:endParaRPr>
          </a:p>
        </xdr:txBody>
      </xdr:sp>
      <xdr:sp macro="" textlink="">
        <xdr:nvSpPr>
          <xdr:cNvPr id="355" name="SECTION_GROUP_SUBTITLE_LABEL">
            <a:extLst>
              <a:ext uri="{FF2B5EF4-FFF2-40B4-BE49-F238E27FC236}">
                <a16:creationId xmlns:a16="http://schemas.microsoft.com/office/drawing/2014/main" id="{00000000-0008-0000-0100-000063010000}"/>
              </a:ext>
            </a:extLst>
          </xdr:cNvPr>
          <xdr:cNvSpPr txBox="1"/>
        </xdr:nvSpPr>
        <xdr:spPr>
          <a:xfrm>
            <a:off x="15640051"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absolute">
    <xdr:from>
      <xdr:col>16384</xdr:col>
      <xdr:colOff>613928</xdr:colOff>
      <xdr:row>16</xdr:row>
      <xdr:rowOff>28575</xdr:rowOff>
    </xdr:from>
    <xdr:to>
      <xdr:col>16384</xdr:col>
      <xdr:colOff>613928</xdr:colOff>
      <xdr:row>18</xdr:row>
      <xdr:rowOff>76200</xdr:rowOff>
    </xdr:to>
    <xdr:sp macro="" textlink="">
      <xdr:nvSpPr>
        <xdr:cNvPr id="17" name="COVER_CELLS_01">
          <a:extLst>
            <a:ext uri="{FF2B5EF4-FFF2-40B4-BE49-F238E27FC236}">
              <a16:creationId xmlns:a16="http://schemas.microsoft.com/office/drawing/2014/main" id="{00000000-0008-0000-0100-000011000000}"/>
            </a:ext>
          </a:extLst>
        </xdr:cNvPr>
        <xdr:cNvSpPr/>
      </xdr:nvSpPr>
      <xdr:spPr>
        <a:xfrm>
          <a:off x="9115424" y="3590925"/>
          <a:ext cx="0" cy="600075"/>
        </a:xfrm>
        <a:prstGeom prst="rect">
          <a:avLst/>
        </a:prstGeom>
        <a:solidFill>
          <a:srgbClr val="FFFFFF">
            <a:alpha val="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fPrintsWithSheet="0"/>
  </xdr:twoCellAnchor>
  <xdr:twoCellAnchor editAs="oneCell">
    <xdr:from>
      <xdr:col>7</xdr:col>
      <xdr:colOff>24775</xdr:colOff>
      <xdr:row>957</xdr:row>
      <xdr:rowOff>219072</xdr:rowOff>
    </xdr:from>
    <xdr:to>
      <xdr:col>24</xdr:col>
      <xdr:colOff>152399</xdr:colOff>
      <xdr:row>958</xdr:row>
      <xdr:rowOff>253744</xdr:rowOff>
    </xdr:to>
    <xdr:grpSp>
      <xdr:nvGrpSpPr>
        <xdr:cNvPr id="88" name="Group 87">
          <a:extLst>
            <a:ext uri="{FF2B5EF4-FFF2-40B4-BE49-F238E27FC236}">
              <a16:creationId xmlns:a16="http://schemas.microsoft.com/office/drawing/2014/main" id="{00000000-0008-0000-0100-000058000000}"/>
            </a:ext>
          </a:extLst>
        </xdr:cNvPr>
        <xdr:cNvGrpSpPr/>
      </xdr:nvGrpSpPr>
      <xdr:grpSpPr>
        <a:xfrm>
          <a:off x="24775" y="285807147"/>
          <a:ext cx="7452349" cy="310897"/>
          <a:chOff x="9296399" y="16259175"/>
          <a:chExt cx="7452359" cy="731063"/>
        </a:xfrm>
      </xdr:grpSpPr>
      <xdr:sp macro="" textlink="">
        <xdr:nvSpPr>
          <xdr:cNvPr id="9" name="FOOTER_BG">
            <a:extLst>
              <a:ext uri="{FF2B5EF4-FFF2-40B4-BE49-F238E27FC236}">
                <a16:creationId xmlns:a16="http://schemas.microsoft.com/office/drawing/2014/main" id="{00000000-0008-0000-0100-000009000000}"/>
              </a:ext>
            </a:extLst>
          </xdr:cNvPr>
          <xdr:cNvSpPr/>
        </xdr:nvSpPr>
        <xdr:spPr>
          <a:xfrm>
            <a:off x="9296399" y="16259179"/>
            <a:ext cx="7452359" cy="731059"/>
          </a:xfrm>
          <a:prstGeom prst="rect">
            <a:avLst/>
          </a:prstGeom>
          <a:solidFill>
            <a:srgbClr val="69747A"/>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pPr marL="0" marR="0" indent="0" algn="r" defTabSz="914400" eaLnBrk="1" fontAlgn="auto" latinLnBrk="0" hangingPunct="1">
              <a:lnSpc>
                <a:spcPct val="100000"/>
              </a:lnSpc>
              <a:spcBef>
                <a:spcPts val="0"/>
              </a:spcBef>
              <a:spcAft>
                <a:spcPts val="0"/>
              </a:spcAft>
              <a:buClrTx/>
              <a:buSzTx/>
              <a:buFontTx/>
              <a:buNone/>
              <a:tabLst/>
              <a:defRPr/>
            </a:pPr>
            <a:r>
              <a:rPr lang="en-US" sz="900" b="1">
                <a:solidFill>
                  <a:schemeClr val="lt1"/>
                </a:solidFill>
                <a:latin typeface="Arial" pitchFamily="34" charset="0"/>
                <a:ea typeface="+mn-ea"/>
                <a:cs typeface="Arial" pitchFamily="34" charset="0"/>
              </a:rPr>
              <a:t> Affordable Housing Program Application</a:t>
            </a:r>
            <a:endParaRPr lang="en-US" sz="900" b="1">
              <a:latin typeface="Arial" pitchFamily="34" charset="0"/>
              <a:cs typeface="Arial" pitchFamily="34" charset="0"/>
            </a:endParaRPr>
          </a:p>
          <a:p>
            <a:pPr algn="r"/>
            <a:endParaRPr lang="en-US" sz="900" b="1">
              <a:latin typeface="Arial" pitchFamily="34" charset="0"/>
              <a:cs typeface="Arial" pitchFamily="34" charset="0"/>
            </a:endParaRPr>
          </a:p>
        </xdr:txBody>
      </xdr:sp>
      <xdr:sp macro="" textlink="">
        <xdr:nvSpPr>
          <xdr:cNvPr id="25" name="FOOTER_LINK_PAGETOP">
            <a:hlinkClick xmlns:r="http://schemas.openxmlformats.org/officeDocument/2006/relationships" r:id="rId16"/>
            <a:extLst>
              <a:ext uri="{FF2B5EF4-FFF2-40B4-BE49-F238E27FC236}">
                <a16:creationId xmlns:a16="http://schemas.microsoft.com/office/drawing/2014/main" id="{00000000-0008-0000-0100-000019000000}"/>
              </a:ext>
            </a:extLst>
          </xdr:cNvPr>
          <xdr:cNvSpPr/>
        </xdr:nvSpPr>
        <xdr:spPr>
          <a:xfrm>
            <a:off x="9296399" y="16259175"/>
            <a:ext cx="1126715" cy="731059"/>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900" b="1" u="none">
                <a:latin typeface="Arial" pitchFamily="34" charset="0"/>
                <a:cs typeface="Arial" pitchFamily="34" charset="0"/>
              </a:rPr>
              <a:t>^ Back to Top</a:t>
            </a:r>
          </a:p>
        </xdr:txBody>
      </xdr:sp>
    </xdr:grpSp>
    <xdr:clientData fPrintsWithSheet="0"/>
  </xdr:twoCellAnchor>
  <xdr:oneCellAnchor>
    <xdr:from>
      <xdr:col>18</xdr:col>
      <xdr:colOff>419100</xdr:colOff>
      <xdr:row>28</xdr:row>
      <xdr:rowOff>0</xdr:rowOff>
    </xdr:from>
    <xdr:ext cx="2314574" cy="264560"/>
    <xdr:sp macro="" textlink="$X$29">
      <xdr:nvSpPr>
        <xdr:cNvPr id="40" name="PROJ_NAME_CHARS_REMAINING">
          <a:extLst>
            <a:ext uri="{FF2B5EF4-FFF2-40B4-BE49-F238E27FC236}">
              <a16:creationId xmlns:a16="http://schemas.microsoft.com/office/drawing/2014/main" id="{00000000-0008-0000-0100-000028000000}"/>
            </a:ext>
          </a:extLst>
        </xdr:cNvPr>
        <xdr:cNvSpPr txBox="1"/>
      </xdr:nvSpPr>
      <xdr:spPr>
        <a:xfrm>
          <a:off x="14344650" y="4371975"/>
          <a:ext cx="231457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r"/>
          <a:fld id="{692C2CA2-0E05-40C4-9D8F-81294E7C374B}" type="TxLink">
            <a:rPr lang="en-US" sz="1050" b="0" i="1" u="none" strike="noStrike">
              <a:solidFill>
                <a:srgbClr val="7F7F7F"/>
              </a:solidFill>
              <a:latin typeface="Arial" pitchFamily="34" charset="0"/>
              <a:cs typeface="Arial" pitchFamily="34" charset="0"/>
            </a:rPr>
            <a:pPr algn="r"/>
            <a:t> </a:t>
          </a:fld>
          <a:endParaRPr lang="en-US" sz="1050">
            <a:latin typeface="Arial" pitchFamily="34" charset="0"/>
            <a:cs typeface="Arial" pitchFamily="34" charset="0"/>
          </a:endParaRPr>
        </a:p>
      </xdr:txBody>
    </xdr:sp>
    <xdr:clientData fPrintsWithSheet="0"/>
  </xdr:oneCellAnchor>
  <xdr:twoCellAnchor editAs="oneCell">
    <xdr:from>
      <xdr:col>21</xdr:col>
      <xdr:colOff>152401</xdr:colOff>
      <xdr:row>25</xdr:row>
      <xdr:rowOff>247650</xdr:rowOff>
    </xdr:from>
    <xdr:to>
      <xdr:col>24</xdr:col>
      <xdr:colOff>104776</xdr:colOff>
      <xdr:row>27</xdr:row>
      <xdr:rowOff>0</xdr:rowOff>
    </xdr:to>
    <xdr:sp macro="" textlink="">
      <xdr:nvSpPr>
        <xdr:cNvPr id="44" name="LINK_RENTAL_TOC">
          <a:hlinkClick xmlns:r="http://schemas.openxmlformats.org/officeDocument/2006/relationships" r:id="rId16"/>
          <a:extLst>
            <a:ext uri="{FF2B5EF4-FFF2-40B4-BE49-F238E27FC236}">
              <a16:creationId xmlns:a16="http://schemas.microsoft.com/office/drawing/2014/main" id="{00000000-0008-0000-0100-00002C000000}"/>
            </a:ext>
          </a:extLst>
        </xdr:cNvPr>
        <xdr:cNvSpPr/>
      </xdr:nvSpPr>
      <xdr:spPr>
        <a:xfrm>
          <a:off x="14525626" y="506730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14</xdr:col>
      <xdr:colOff>3398</xdr:colOff>
      <xdr:row>0</xdr:row>
      <xdr:rowOff>71440</xdr:rowOff>
    </xdr:from>
    <xdr:to>
      <xdr:col>24</xdr:col>
      <xdr:colOff>98648</xdr:colOff>
      <xdr:row>0</xdr:row>
      <xdr:rowOff>295275</xdr:rowOff>
    </xdr:to>
    <xdr:sp macro="" textlink="$B$6">
      <xdr:nvSpPr>
        <xdr:cNvPr id="35" name="HEADER_BANNER_TITLE">
          <a:extLst>
            <a:ext uri="{FF2B5EF4-FFF2-40B4-BE49-F238E27FC236}">
              <a16:creationId xmlns:a16="http://schemas.microsoft.com/office/drawing/2014/main" id="{00000000-0008-0000-0100-000023000000}"/>
            </a:ext>
          </a:extLst>
        </xdr:cNvPr>
        <xdr:cNvSpPr txBox="1"/>
      </xdr:nvSpPr>
      <xdr:spPr>
        <a:xfrm>
          <a:off x="2851373" y="71440"/>
          <a:ext cx="4572000" cy="2238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ctr">
          <a:noAutofit/>
        </a:bodyPr>
        <a:lstStyle/>
        <a:p>
          <a:pPr algn="r"/>
          <a:fld id="{EB7A598A-0828-4A2E-81B0-26C15BB3F65D}" type="TxLink">
            <a:rPr lang="en-US" sz="1050" b="1" i="0" u="none" strike="noStrike">
              <a:solidFill>
                <a:sysClr val="windowText" lastClr="000000"/>
              </a:solidFill>
              <a:latin typeface="Arial" pitchFamily="34" charset="0"/>
              <a:cs typeface="Arial" pitchFamily="34" charset="0"/>
            </a:rPr>
            <a:pPr algn="r"/>
            <a:t>AHP General Fund 2021</a:t>
          </a:fld>
          <a:endParaRPr lang="en-US" sz="1050" b="1" i="0">
            <a:solidFill>
              <a:sysClr val="windowText" lastClr="000000"/>
            </a:solidFill>
            <a:latin typeface="Arial" pitchFamily="34" charset="0"/>
            <a:cs typeface="Arial" pitchFamily="34" charset="0"/>
          </a:endParaRPr>
        </a:p>
      </xdr:txBody>
    </xdr:sp>
    <xdr:clientData/>
  </xdr:twoCellAnchor>
  <xdr:twoCellAnchor editAs="oneCell">
    <xdr:from>
      <xdr:col>21</xdr:col>
      <xdr:colOff>152401</xdr:colOff>
      <xdr:row>37</xdr:row>
      <xdr:rowOff>238125</xdr:rowOff>
    </xdr:from>
    <xdr:to>
      <xdr:col>24</xdr:col>
      <xdr:colOff>104776</xdr:colOff>
      <xdr:row>38</xdr:row>
      <xdr:rowOff>266700</xdr:rowOff>
    </xdr:to>
    <xdr:sp macro="" textlink="">
      <xdr:nvSpPr>
        <xdr:cNvPr id="77" name="LINK_RENTAL_TOC">
          <a:hlinkClick xmlns:r="http://schemas.openxmlformats.org/officeDocument/2006/relationships" r:id="rId16"/>
          <a:extLst>
            <a:ext uri="{FF2B5EF4-FFF2-40B4-BE49-F238E27FC236}">
              <a16:creationId xmlns:a16="http://schemas.microsoft.com/office/drawing/2014/main" id="{00000000-0008-0000-0100-00004D000000}"/>
            </a:ext>
          </a:extLst>
        </xdr:cNvPr>
        <xdr:cNvSpPr/>
      </xdr:nvSpPr>
      <xdr:spPr>
        <a:xfrm>
          <a:off x="6400801" y="726757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21</xdr:col>
      <xdr:colOff>161925</xdr:colOff>
      <xdr:row>50</xdr:row>
      <xdr:rowOff>257175</xdr:rowOff>
    </xdr:from>
    <xdr:to>
      <xdr:col>24</xdr:col>
      <xdr:colOff>114300</xdr:colOff>
      <xdr:row>52</xdr:row>
      <xdr:rowOff>9525</xdr:rowOff>
    </xdr:to>
    <xdr:sp macro="" textlink="">
      <xdr:nvSpPr>
        <xdr:cNvPr id="57" name="LINK_RENTAL_TOC">
          <a:hlinkClick xmlns:r="http://schemas.openxmlformats.org/officeDocument/2006/relationships" r:id="rId16"/>
          <a:extLst>
            <a:ext uri="{FF2B5EF4-FFF2-40B4-BE49-F238E27FC236}">
              <a16:creationId xmlns:a16="http://schemas.microsoft.com/office/drawing/2014/main" id="{00000000-0008-0000-0100-000039000000}"/>
            </a:ext>
          </a:extLst>
        </xdr:cNvPr>
        <xdr:cNvSpPr/>
      </xdr:nvSpPr>
      <xdr:spPr>
        <a:xfrm>
          <a:off x="6410325" y="1060132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21</xdr:col>
      <xdr:colOff>152400</xdr:colOff>
      <xdr:row>90</xdr:row>
      <xdr:rowOff>247650</xdr:rowOff>
    </xdr:from>
    <xdr:to>
      <xdr:col>24</xdr:col>
      <xdr:colOff>104775</xdr:colOff>
      <xdr:row>92</xdr:row>
      <xdr:rowOff>0</xdr:rowOff>
    </xdr:to>
    <xdr:sp macro="" textlink="">
      <xdr:nvSpPr>
        <xdr:cNvPr id="72" name="LINK_RENTAL_TOC">
          <a:hlinkClick xmlns:r="http://schemas.openxmlformats.org/officeDocument/2006/relationships" r:id="rId16"/>
          <a:extLst>
            <a:ext uri="{FF2B5EF4-FFF2-40B4-BE49-F238E27FC236}">
              <a16:creationId xmlns:a16="http://schemas.microsoft.com/office/drawing/2014/main" id="{00000000-0008-0000-0100-000048000000}"/>
            </a:ext>
          </a:extLst>
        </xdr:cNvPr>
        <xdr:cNvSpPr/>
      </xdr:nvSpPr>
      <xdr:spPr>
        <a:xfrm>
          <a:off x="14525625" y="1704975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21</xdr:col>
      <xdr:colOff>161925</xdr:colOff>
      <xdr:row>104</xdr:row>
      <xdr:rowOff>247650</xdr:rowOff>
    </xdr:from>
    <xdr:to>
      <xdr:col>24</xdr:col>
      <xdr:colOff>114300</xdr:colOff>
      <xdr:row>106</xdr:row>
      <xdr:rowOff>0</xdr:rowOff>
    </xdr:to>
    <xdr:sp macro="" textlink="">
      <xdr:nvSpPr>
        <xdr:cNvPr id="123" name="LINK_RENTAL_TOC">
          <a:hlinkClick xmlns:r="http://schemas.openxmlformats.org/officeDocument/2006/relationships" r:id="rId16"/>
          <a:extLst>
            <a:ext uri="{FF2B5EF4-FFF2-40B4-BE49-F238E27FC236}">
              <a16:creationId xmlns:a16="http://schemas.microsoft.com/office/drawing/2014/main" id="{00000000-0008-0000-0100-00007B000000}"/>
            </a:ext>
          </a:extLst>
        </xdr:cNvPr>
        <xdr:cNvSpPr/>
      </xdr:nvSpPr>
      <xdr:spPr>
        <a:xfrm>
          <a:off x="14535150" y="2523172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21</xdr:col>
      <xdr:colOff>142875</xdr:colOff>
      <xdr:row>256</xdr:row>
      <xdr:rowOff>247650</xdr:rowOff>
    </xdr:from>
    <xdr:to>
      <xdr:col>24</xdr:col>
      <xdr:colOff>95250</xdr:colOff>
      <xdr:row>258</xdr:row>
      <xdr:rowOff>0</xdr:rowOff>
    </xdr:to>
    <xdr:sp macro="" textlink="">
      <xdr:nvSpPr>
        <xdr:cNvPr id="114" name="LINK_RENTAL_TOC">
          <a:hlinkClick xmlns:r="http://schemas.openxmlformats.org/officeDocument/2006/relationships" r:id="rId16"/>
          <a:extLst>
            <a:ext uri="{FF2B5EF4-FFF2-40B4-BE49-F238E27FC236}">
              <a16:creationId xmlns:a16="http://schemas.microsoft.com/office/drawing/2014/main" id="{00000000-0008-0000-0100-000072000000}"/>
            </a:ext>
          </a:extLst>
        </xdr:cNvPr>
        <xdr:cNvSpPr/>
      </xdr:nvSpPr>
      <xdr:spPr>
        <a:xfrm>
          <a:off x="14516100" y="5119687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21</xdr:col>
      <xdr:colOff>161925</xdr:colOff>
      <xdr:row>289</xdr:row>
      <xdr:rowOff>247650</xdr:rowOff>
    </xdr:from>
    <xdr:to>
      <xdr:col>24</xdr:col>
      <xdr:colOff>114300</xdr:colOff>
      <xdr:row>291</xdr:row>
      <xdr:rowOff>0</xdr:rowOff>
    </xdr:to>
    <xdr:sp macro="" textlink="">
      <xdr:nvSpPr>
        <xdr:cNvPr id="184" name="LINK_RENTAL_TOC">
          <a:hlinkClick xmlns:r="http://schemas.openxmlformats.org/officeDocument/2006/relationships" r:id="rId16"/>
          <a:extLst>
            <a:ext uri="{FF2B5EF4-FFF2-40B4-BE49-F238E27FC236}">
              <a16:creationId xmlns:a16="http://schemas.microsoft.com/office/drawing/2014/main" id="{00000000-0008-0000-0100-0000B8000000}"/>
            </a:ext>
          </a:extLst>
        </xdr:cNvPr>
        <xdr:cNvSpPr/>
      </xdr:nvSpPr>
      <xdr:spPr>
        <a:xfrm>
          <a:off x="14535150" y="6169342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20</xdr:col>
      <xdr:colOff>66675</xdr:colOff>
      <xdr:row>2</xdr:row>
      <xdr:rowOff>9525</xdr:rowOff>
    </xdr:from>
    <xdr:to>
      <xdr:col>24</xdr:col>
      <xdr:colOff>109538</xdr:colOff>
      <xdr:row>3</xdr:row>
      <xdr:rowOff>1905</xdr:rowOff>
    </xdr:to>
    <xdr:sp macro="" textlink="$B$7">
      <xdr:nvSpPr>
        <xdr:cNvPr id="217" name="HEADER_BANNER_SUBTITLE">
          <a:extLst>
            <a:ext uri="{FF2B5EF4-FFF2-40B4-BE49-F238E27FC236}">
              <a16:creationId xmlns:a16="http://schemas.microsoft.com/office/drawing/2014/main" id="{00000000-0008-0000-0100-0000D9000000}"/>
            </a:ext>
          </a:extLst>
        </xdr:cNvPr>
        <xdr:cNvSpPr txBox="1"/>
      </xdr:nvSpPr>
      <xdr:spPr>
        <a:xfrm>
          <a:off x="5600700" y="561975"/>
          <a:ext cx="1833563" cy="182880"/>
        </a:xfrm>
        <a:prstGeom prst="rect">
          <a:avLst/>
        </a:prstGeom>
        <a:solidFill>
          <a:srgbClr val="00305E"/>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fld id="{4B39128B-4B37-4567-8AC7-02473171A03C}" type="TxLink">
            <a:rPr lang="en-US" sz="700" b="1" i="0" u="none" strike="noStrike">
              <a:solidFill>
                <a:schemeClr val="bg1"/>
              </a:solidFill>
              <a:latin typeface="Arial" pitchFamily="34" charset="0"/>
              <a:cs typeface="Arial" pitchFamily="34" charset="0"/>
            </a:rPr>
            <a:pPr algn="ctr"/>
            <a:t>Rental Project</a:t>
          </a:fld>
          <a:endParaRPr lang="en-US" sz="700" b="1" i="0" u="none" strike="noStrike">
            <a:solidFill>
              <a:schemeClr val="bg1"/>
            </a:solidFill>
            <a:latin typeface="Arial" pitchFamily="34" charset="0"/>
            <a:cs typeface="Arial" pitchFamily="34" charset="0"/>
          </a:endParaRPr>
        </a:p>
      </xdr:txBody>
    </xdr:sp>
    <xdr:clientData/>
  </xdr:twoCellAnchor>
  <xdr:twoCellAnchor editAs="oneCell">
    <xdr:from>
      <xdr:col>7</xdr:col>
      <xdr:colOff>57150</xdr:colOff>
      <xdr:row>0</xdr:row>
      <xdr:rowOff>56784</xdr:rowOff>
    </xdr:from>
    <xdr:to>
      <xdr:col>10</xdr:col>
      <xdr:colOff>106299</xdr:colOff>
      <xdr:row>0</xdr:row>
      <xdr:rowOff>527092</xdr:rowOff>
    </xdr:to>
    <xdr:pic>
      <xdr:nvPicPr>
        <xdr:cNvPr id="218" name="COMPANY_LOGO">
          <a:extLst>
            <a:ext uri="{FF2B5EF4-FFF2-40B4-BE49-F238E27FC236}">
              <a16:creationId xmlns:a16="http://schemas.microsoft.com/office/drawing/2014/main" id="{00000000-0008-0000-0100-0000DA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xdr:blipFill>
      <xdr:spPr>
        <a:xfrm>
          <a:off x="57150" y="56784"/>
          <a:ext cx="1106424" cy="470308"/>
        </a:xfrm>
        <a:prstGeom prst="rect">
          <a:avLst/>
        </a:prstGeom>
      </xdr:spPr>
    </xdr:pic>
    <xdr:clientData/>
  </xdr:twoCellAnchor>
  <xdr:twoCellAnchor editAs="oneCell">
    <xdr:from>
      <xdr:col>20</xdr:col>
      <xdr:colOff>60546</xdr:colOff>
      <xdr:row>0</xdr:row>
      <xdr:rowOff>308208</xdr:rowOff>
    </xdr:from>
    <xdr:to>
      <xdr:col>24</xdr:col>
      <xdr:colOff>98648</xdr:colOff>
      <xdr:row>0</xdr:row>
      <xdr:rowOff>491088</xdr:rowOff>
    </xdr:to>
    <xdr:sp macro="" textlink="">
      <xdr:nvSpPr>
        <xdr:cNvPr id="203" name="HEADER_BANNER_DOCID">
          <a:extLst>
            <a:ext uri="{FF2B5EF4-FFF2-40B4-BE49-F238E27FC236}">
              <a16:creationId xmlns:a16="http://schemas.microsoft.com/office/drawing/2014/main" id="{00000000-0008-0000-0100-0000CB000000}"/>
            </a:ext>
          </a:extLst>
        </xdr:cNvPr>
        <xdr:cNvSpPr txBox="1"/>
      </xdr:nvSpPr>
      <xdr:spPr>
        <a:xfrm>
          <a:off x="5594571" y="308208"/>
          <a:ext cx="1828802" cy="1828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lIns="0" rIns="0" rtlCol="0" anchor="ctr">
          <a:noAutofit/>
        </a:bodyPr>
        <a:lstStyle/>
        <a:p>
          <a:pPr algn="r"/>
          <a:r>
            <a:rPr lang="en-US" sz="800" b="0" i="0" u="none" strike="noStrike" baseline="0">
              <a:solidFill>
                <a:sysClr val="windowText" lastClr="000000"/>
              </a:solidFill>
              <a:latin typeface="Arial" pitchFamily="34" charset="0"/>
              <a:cs typeface="Arial" pitchFamily="34" charset="0"/>
            </a:rPr>
            <a:t>AHP Application</a:t>
          </a:r>
          <a:endParaRPr lang="en-US" sz="800" b="0" i="0" u="none" strike="noStrike">
            <a:solidFill>
              <a:sysClr val="windowText" lastClr="000000"/>
            </a:solidFill>
            <a:latin typeface="Arial" pitchFamily="34" charset="0"/>
            <a:cs typeface="Arial" pitchFamily="34" charset="0"/>
          </a:endParaRPr>
        </a:p>
      </xdr:txBody>
    </xdr:sp>
    <xdr:clientData/>
  </xdr:twoCellAnchor>
  <xdr:twoCellAnchor editAs="oneCell">
    <xdr:from>
      <xdr:col>21</xdr:col>
      <xdr:colOff>152400</xdr:colOff>
      <xdr:row>63</xdr:row>
      <xdr:rowOff>238125</xdr:rowOff>
    </xdr:from>
    <xdr:to>
      <xdr:col>24</xdr:col>
      <xdr:colOff>104775</xdr:colOff>
      <xdr:row>64</xdr:row>
      <xdr:rowOff>266700</xdr:rowOff>
    </xdr:to>
    <xdr:sp macro="" textlink="">
      <xdr:nvSpPr>
        <xdr:cNvPr id="205" name="LINK_RENTAL_TOC">
          <a:hlinkClick xmlns:r="http://schemas.openxmlformats.org/officeDocument/2006/relationships" r:id="rId16"/>
          <a:extLst>
            <a:ext uri="{FF2B5EF4-FFF2-40B4-BE49-F238E27FC236}">
              <a16:creationId xmlns:a16="http://schemas.microsoft.com/office/drawing/2014/main" id="{00000000-0008-0000-0100-0000CD000000}"/>
            </a:ext>
          </a:extLst>
        </xdr:cNvPr>
        <xdr:cNvSpPr/>
      </xdr:nvSpPr>
      <xdr:spPr>
        <a:xfrm>
          <a:off x="14525625" y="4234815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xdr:from>
      <xdr:col>20</xdr:col>
      <xdr:colOff>657225</xdr:colOff>
      <xdr:row>94</xdr:row>
      <xdr:rowOff>152400</xdr:rowOff>
    </xdr:from>
    <xdr:to>
      <xdr:col>21</xdr:col>
      <xdr:colOff>114300</xdr:colOff>
      <xdr:row>94</xdr:row>
      <xdr:rowOff>152400</xdr:rowOff>
    </xdr:to>
    <xdr:cxnSp macro="">
      <xdr:nvCxnSpPr>
        <xdr:cNvPr id="208" name="DOTTED_LINE">
          <a:extLst>
            <a:ext uri="{FF2B5EF4-FFF2-40B4-BE49-F238E27FC236}">
              <a16:creationId xmlns:a16="http://schemas.microsoft.com/office/drawing/2014/main" id="{00000000-0008-0000-0100-0000D0000000}"/>
            </a:ext>
          </a:extLst>
        </xdr:cNvPr>
        <xdr:cNvCxnSpPr/>
      </xdr:nvCxnSpPr>
      <xdr:spPr>
        <a:xfrm>
          <a:off x="14316075" y="73752075"/>
          <a:ext cx="1714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590550</xdr:colOff>
      <xdr:row>96</xdr:row>
      <xdr:rowOff>152400</xdr:rowOff>
    </xdr:from>
    <xdr:to>
      <xdr:col>21</xdr:col>
      <xdr:colOff>114300</xdr:colOff>
      <xdr:row>96</xdr:row>
      <xdr:rowOff>152400</xdr:rowOff>
    </xdr:to>
    <xdr:cxnSp macro="">
      <xdr:nvCxnSpPr>
        <xdr:cNvPr id="219" name="DOTTED_LINE">
          <a:extLst>
            <a:ext uri="{FF2B5EF4-FFF2-40B4-BE49-F238E27FC236}">
              <a16:creationId xmlns:a16="http://schemas.microsoft.com/office/drawing/2014/main" id="{00000000-0008-0000-0100-0000DB000000}"/>
            </a:ext>
          </a:extLst>
        </xdr:cNvPr>
        <xdr:cNvCxnSpPr/>
      </xdr:nvCxnSpPr>
      <xdr:spPr>
        <a:xfrm>
          <a:off x="6124575" y="24098250"/>
          <a:ext cx="2381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76200</xdr:colOff>
      <xdr:row>98</xdr:row>
      <xdr:rowOff>152400</xdr:rowOff>
    </xdr:from>
    <xdr:to>
      <xdr:col>21</xdr:col>
      <xdr:colOff>114300</xdr:colOff>
      <xdr:row>98</xdr:row>
      <xdr:rowOff>152400</xdr:rowOff>
    </xdr:to>
    <xdr:cxnSp macro="">
      <xdr:nvCxnSpPr>
        <xdr:cNvPr id="220" name="DOTTED_LINE">
          <a:extLst>
            <a:ext uri="{FF2B5EF4-FFF2-40B4-BE49-F238E27FC236}">
              <a16:creationId xmlns:a16="http://schemas.microsoft.com/office/drawing/2014/main" id="{00000000-0008-0000-0100-0000DC000000}"/>
            </a:ext>
          </a:extLst>
        </xdr:cNvPr>
        <xdr:cNvCxnSpPr/>
      </xdr:nvCxnSpPr>
      <xdr:spPr>
        <a:xfrm>
          <a:off x="5610225" y="24650700"/>
          <a:ext cx="7524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38100</xdr:colOff>
      <xdr:row>99</xdr:row>
      <xdr:rowOff>95250</xdr:rowOff>
    </xdr:from>
    <xdr:to>
      <xdr:col>8</xdr:col>
      <xdr:colOff>129540</xdr:colOff>
      <xdr:row>99</xdr:row>
      <xdr:rowOff>186690</xdr:rowOff>
    </xdr:to>
    <xdr:sp macro="" textlink="">
      <xdr:nvSpPr>
        <xdr:cNvPr id="221" name="RT_ARROW_2">
          <a:extLst>
            <a:ext uri="{FF2B5EF4-FFF2-40B4-BE49-F238E27FC236}">
              <a16:creationId xmlns:a16="http://schemas.microsoft.com/office/drawing/2014/main" id="{00000000-0008-0000-0100-0000DD000000}"/>
            </a:ext>
          </a:extLst>
        </xdr:cNvPr>
        <xdr:cNvSpPr/>
      </xdr:nvSpPr>
      <xdr:spPr>
        <a:xfrm>
          <a:off x="8324850" y="55740300"/>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8</xdr:col>
      <xdr:colOff>38100</xdr:colOff>
      <xdr:row>100</xdr:row>
      <xdr:rowOff>85725</xdr:rowOff>
    </xdr:from>
    <xdr:to>
      <xdr:col>8</xdr:col>
      <xdr:colOff>129540</xdr:colOff>
      <xdr:row>100</xdr:row>
      <xdr:rowOff>177165</xdr:rowOff>
    </xdr:to>
    <xdr:sp macro="" textlink="">
      <xdr:nvSpPr>
        <xdr:cNvPr id="222" name="RT_ARROW_3">
          <a:extLst>
            <a:ext uri="{FF2B5EF4-FFF2-40B4-BE49-F238E27FC236}">
              <a16:creationId xmlns:a16="http://schemas.microsoft.com/office/drawing/2014/main" id="{00000000-0008-0000-0100-0000DE000000}"/>
            </a:ext>
          </a:extLst>
        </xdr:cNvPr>
        <xdr:cNvSpPr/>
      </xdr:nvSpPr>
      <xdr:spPr>
        <a:xfrm>
          <a:off x="8324850" y="56007000"/>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14</xdr:col>
      <xdr:colOff>161925</xdr:colOff>
      <xdr:row>99</xdr:row>
      <xdr:rowOff>152400</xdr:rowOff>
    </xdr:from>
    <xdr:to>
      <xdr:col>17</xdr:col>
      <xdr:colOff>123825</xdr:colOff>
      <xdr:row>99</xdr:row>
      <xdr:rowOff>152400</xdr:rowOff>
    </xdr:to>
    <xdr:cxnSp macro="">
      <xdr:nvCxnSpPr>
        <xdr:cNvPr id="231" name="DOTTED_LINE">
          <a:extLst>
            <a:ext uri="{FF2B5EF4-FFF2-40B4-BE49-F238E27FC236}">
              <a16:creationId xmlns:a16="http://schemas.microsoft.com/office/drawing/2014/main" id="{00000000-0008-0000-0100-0000E7000000}"/>
            </a:ext>
          </a:extLst>
        </xdr:cNvPr>
        <xdr:cNvCxnSpPr/>
      </xdr:nvCxnSpPr>
      <xdr:spPr>
        <a:xfrm>
          <a:off x="11134725" y="24926925"/>
          <a:ext cx="15716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104775</xdr:colOff>
      <xdr:row>100</xdr:row>
      <xdr:rowOff>152400</xdr:rowOff>
    </xdr:from>
    <xdr:to>
      <xdr:col>17</xdr:col>
      <xdr:colOff>123825</xdr:colOff>
      <xdr:row>100</xdr:row>
      <xdr:rowOff>152400</xdr:rowOff>
    </xdr:to>
    <xdr:cxnSp macro="">
      <xdr:nvCxnSpPr>
        <xdr:cNvPr id="232" name="DOTTED_LINE">
          <a:extLst>
            <a:ext uri="{FF2B5EF4-FFF2-40B4-BE49-F238E27FC236}">
              <a16:creationId xmlns:a16="http://schemas.microsoft.com/office/drawing/2014/main" id="{00000000-0008-0000-0100-0000E8000000}"/>
            </a:ext>
          </a:extLst>
        </xdr:cNvPr>
        <xdr:cNvCxnSpPr/>
      </xdr:nvCxnSpPr>
      <xdr:spPr>
        <a:xfrm>
          <a:off x="11791950" y="25203150"/>
          <a:ext cx="9144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657225</xdr:colOff>
      <xdr:row>102</xdr:row>
      <xdr:rowOff>152400</xdr:rowOff>
    </xdr:from>
    <xdr:to>
      <xdr:col>21</xdr:col>
      <xdr:colOff>114300</xdr:colOff>
      <xdr:row>102</xdr:row>
      <xdr:rowOff>152400</xdr:rowOff>
    </xdr:to>
    <xdr:cxnSp macro="">
      <xdr:nvCxnSpPr>
        <xdr:cNvPr id="238" name="DOTTED_LINE">
          <a:extLst>
            <a:ext uri="{FF2B5EF4-FFF2-40B4-BE49-F238E27FC236}">
              <a16:creationId xmlns:a16="http://schemas.microsoft.com/office/drawing/2014/main" id="{00000000-0008-0000-0100-0000EE000000}"/>
            </a:ext>
          </a:extLst>
        </xdr:cNvPr>
        <xdr:cNvCxnSpPr/>
      </xdr:nvCxnSpPr>
      <xdr:spPr>
        <a:xfrm>
          <a:off x="14316075" y="22926675"/>
          <a:ext cx="1714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66675</xdr:colOff>
      <xdr:row>109</xdr:row>
      <xdr:rowOff>152400</xdr:rowOff>
    </xdr:from>
    <xdr:to>
      <xdr:col>19</xdr:col>
      <xdr:colOff>66675</xdr:colOff>
      <xdr:row>109</xdr:row>
      <xdr:rowOff>152400</xdr:rowOff>
    </xdr:to>
    <xdr:cxnSp macro="">
      <xdr:nvCxnSpPr>
        <xdr:cNvPr id="206" name="DOTTED_LINE">
          <a:extLst>
            <a:ext uri="{FF2B5EF4-FFF2-40B4-BE49-F238E27FC236}">
              <a16:creationId xmlns:a16="http://schemas.microsoft.com/office/drawing/2014/main" id="{00000000-0008-0000-0100-0000CE000000}"/>
            </a:ext>
          </a:extLst>
        </xdr:cNvPr>
        <xdr:cNvCxnSpPr/>
      </xdr:nvCxnSpPr>
      <xdr:spPr>
        <a:xfrm>
          <a:off x="10144125" y="29003625"/>
          <a:ext cx="34004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76200</xdr:colOff>
      <xdr:row>110</xdr:row>
      <xdr:rowOff>152400</xdr:rowOff>
    </xdr:from>
    <xdr:to>
      <xdr:col>21</xdr:col>
      <xdr:colOff>133350</xdr:colOff>
      <xdr:row>110</xdr:row>
      <xdr:rowOff>152400</xdr:rowOff>
    </xdr:to>
    <xdr:cxnSp macro="">
      <xdr:nvCxnSpPr>
        <xdr:cNvPr id="235" name="DOTTED_LINE">
          <a:extLst>
            <a:ext uri="{FF2B5EF4-FFF2-40B4-BE49-F238E27FC236}">
              <a16:creationId xmlns:a16="http://schemas.microsoft.com/office/drawing/2014/main" id="{00000000-0008-0000-0100-0000EB000000}"/>
            </a:ext>
          </a:extLst>
        </xdr:cNvPr>
        <xdr:cNvCxnSpPr/>
      </xdr:nvCxnSpPr>
      <xdr:spPr>
        <a:xfrm>
          <a:off x="9258300" y="29346525"/>
          <a:ext cx="52482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66675</xdr:colOff>
      <xdr:row>118</xdr:row>
      <xdr:rowOff>152400</xdr:rowOff>
    </xdr:from>
    <xdr:to>
      <xdr:col>21</xdr:col>
      <xdr:colOff>133350</xdr:colOff>
      <xdr:row>118</xdr:row>
      <xdr:rowOff>152400</xdr:rowOff>
    </xdr:to>
    <xdr:cxnSp macro="">
      <xdr:nvCxnSpPr>
        <xdr:cNvPr id="236" name="DOTTED_LINE">
          <a:extLst>
            <a:ext uri="{FF2B5EF4-FFF2-40B4-BE49-F238E27FC236}">
              <a16:creationId xmlns:a16="http://schemas.microsoft.com/office/drawing/2014/main" id="{00000000-0008-0000-0100-0000EC000000}"/>
            </a:ext>
          </a:extLst>
        </xdr:cNvPr>
        <xdr:cNvCxnSpPr/>
      </xdr:nvCxnSpPr>
      <xdr:spPr>
        <a:xfrm>
          <a:off x="10144125" y="28451175"/>
          <a:ext cx="43624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238125</xdr:colOff>
      <xdr:row>119</xdr:row>
      <xdr:rowOff>152400</xdr:rowOff>
    </xdr:from>
    <xdr:to>
      <xdr:col>21</xdr:col>
      <xdr:colOff>133350</xdr:colOff>
      <xdr:row>119</xdr:row>
      <xdr:rowOff>152400</xdr:rowOff>
    </xdr:to>
    <xdr:cxnSp macro="">
      <xdr:nvCxnSpPr>
        <xdr:cNvPr id="237" name="DOTTED_LINE">
          <a:extLst>
            <a:ext uri="{FF2B5EF4-FFF2-40B4-BE49-F238E27FC236}">
              <a16:creationId xmlns:a16="http://schemas.microsoft.com/office/drawing/2014/main" id="{00000000-0008-0000-0100-0000ED000000}"/>
            </a:ext>
          </a:extLst>
        </xdr:cNvPr>
        <xdr:cNvCxnSpPr/>
      </xdr:nvCxnSpPr>
      <xdr:spPr>
        <a:xfrm>
          <a:off x="9420225" y="32870775"/>
          <a:ext cx="50863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95250</xdr:colOff>
      <xdr:row>120</xdr:row>
      <xdr:rowOff>152400</xdr:rowOff>
    </xdr:from>
    <xdr:to>
      <xdr:col>21</xdr:col>
      <xdr:colOff>133350</xdr:colOff>
      <xdr:row>120</xdr:row>
      <xdr:rowOff>152400</xdr:rowOff>
    </xdr:to>
    <xdr:cxnSp macro="">
      <xdr:nvCxnSpPr>
        <xdr:cNvPr id="242" name="DOTTED_LINE">
          <a:extLst>
            <a:ext uri="{FF2B5EF4-FFF2-40B4-BE49-F238E27FC236}">
              <a16:creationId xmlns:a16="http://schemas.microsoft.com/office/drawing/2014/main" id="{00000000-0008-0000-0100-0000F2000000}"/>
            </a:ext>
          </a:extLst>
        </xdr:cNvPr>
        <xdr:cNvCxnSpPr/>
      </xdr:nvCxnSpPr>
      <xdr:spPr>
        <a:xfrm>
          <a:off x="9277350" y="32042100"/>
          <a:ext cx="52292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114300</xdr:colOff>
      <xdr:row>121</xdr:row>
      <xdr:rowOff>152400</xdr:rowOff>
    </xdr:from>
    <xdr:to>
      <xdr:col>21</xdr:col>
      <xdr:colOff>133350</xdr:colOff>
      <xdr:row>121</xdr:row>
      <xdr:rowOff>152400</xdr:rowOff>
    </xdr:to>
    <xdr:cxnSp macro="">
      <xdr:nvCxnSpPr>
        <xdr:cNvPr id="244" name="DOTTED_LINE">
          <a:extLst>
            <a:ext uri="{FF2B5EF4-FFF2-40B4-BE49-F238E27FC236}">
              <a16:creationId xmlns:a16="http://schemas.microsoft.com/office/drawing/2014/main" id="{00000000-0008-0000-0100-0000F4000000}"/>
            </a:ext>
          </a:extLst>
        </xdr:cNvPr>
        <xdr:cNvCxnSpPr/>
      </xdr:nvCxnSpPr>
      <xdr:spPr>
        <a:xfrm>
          <a:off x="9115425" y="32318325"/>
          <a:ext cx="53911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19050</xdr:colOff>
      <xdr:row>122</xdr:row>
      <xdr:rowOff>152400</xdr:rowOff>
    </xdr:from>
    <xdr:to>
      <xdr:col>21</xdr:col>
      <xdr:colOff>133350</xdr:colOff>
      <xdr:row>122</xdr:row>
      <xdr:rowOff>152400</xdr:rowOff>
    </xdr:to>
    <xdr:cxnSp macro="">
      <xdr:nvCxnSpPr>
        <xdr:cNvPr id="245" name="DOTTED_LINE">
          <a:extLst>
            <a:ext uri="{FF2B5EF4-FFF2-40B4-BE49-F238E27FC236}">
              <a16:creationId xmlns:a16="http://schemas.microsoft.com/office/drawing/2014/main" id="{00000000-0008-0000-0100-0000F5000000}"/>
            </a:ext>
          </a:extLst>
        </xdr:cNvPr>
        <xdr:cNvCxnSpPr/>
      </xdr:nvCxnSpPr>
      <xdr:spPr>
        <a:xfrm>
          <a:off x="11887200" y="33699450"/>
          <a:ext cx="26193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57150</xdr:colOff>
      <xdr:row>135</xdr:row>
      <xdr:rowOff>95250</xdr:rowOff>
    </xdr:from>
    <xdr:to>
      <xdr:col>8</xdr:col>
      <xdr:colOff>148590</xdr:colOff>
      <xdr:row>135</xdr:row>
      <xdr:rowOff>186690</xdr:rowOff>
    </xdr:to>
    <xdr:sp macro="" textlink="">
      <xdr:nvSpPr>
        <xdr:cNvPr id="249" name="RT_ARROW_2">
          <a:extLst>
            <a:ext uri="{FF2B5EF4-FFF2-40B4-BE49-F238E27FC236}">
              <a16:creationId xmlns:a16="http://schemas.microsoft.com/office/drawing/2014/main" id="{00000000-0008-0000-0100-0000F9000000}"/>
            </a:ext>
          </a:extLst>
        </xdr:cNvPr>
        <xdr:cNvSpPr/>
      </xdr:nvSpPr>
      <xdr:spPr>
        <a:xfrm>
          <a:off x="8343900" y="35852100"/>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16</xdr:col>
      <xdr:colOff>76200</xdr:colOff>
      <xdr:row>134</xdr:row>
      <xdr:rowOff>152400</xdr:rowOff>
    </xdr:from>
    <xdr:to>
      <xdr:col>21</xdr:col>
      <xdr:colOff>104775</xdr:colOff>
      <xdr:row>134</xdr:row>
      <xdr:rowOff>152400</xdr:rowOff>
    </xdr:to>
    <xdr:cxnSp macro="">
      <xdr:nvCxnSpPr>
        <xdr:cNvPr id="252" name="DOTTED_LINE">
          <a:extLst>
            <a:ext uri="{FF2B5EF4-FFF2-40B4-BE49-F238E27FC236}">
              <a16:creationId xmlns:a16="http://schemas.microsoft.com/office/drawing/2014/main" id="{00000000-0008-0000-0100-0000FC000000}"/>
            </a:ext>
          </a:extLst>
        </xdr:cNvPr>
        <xdr:cNvCxnSpPr/>
      </xdr:nvCxnSpPr>
      <xdr:spPr>
        <a:xfrm>
          <a:off x="3819525" y="34318575"/>
          <a:ext cx="25336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238125</xdr:colOff>
      <xdr:row>135</xdr:row>
      <xdr:rowOff>142875</xdr:rowOff>
    </xdr:from>
    <xdr:to>
      <xdr:col>21</xdr:col>
      <xdr:colOff>104775</xdr:colOff>
      <xdr:row>135</xdr:row>
      <xdr:rowOff>142875</xdr:rowOff>
    </xdr:to>
    <xdr:cxnSp macro="">
      <xdr:nvCxnSpPr>
        <xdr:cNvPr id="254" name="DOTTED_LINE">
          <a:extLst>
            <a:ext uri="{FF2B5EF4-FFF2-40B4-BE49-F238E27FC236}">
              <a16:creationId xmlns:a16="http://schemas.microsoft.com/office/drawing/2014/main" id="{00000000-0008-0000-0100-0000FE000000}"/>
            </a:ext>
          </a:extLst>
        </xdr:cNvPr>
        <xdr:cNvCxnSpPr/>
      </xdr:nvCxnSpPr>
      <xdr:spPr>
        <a:xfrm>
          <a:off x="2190750" y="34585275"/>
          <a:ext cx="41624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685800</xdr:colOff>
      <xdr:row>181</xdr:row>
      <xdr:rowOff>152400</xdr:rowOff>
    </xdr:from>
    <xdr:to>
      <xdr:col>21</xdr:col>
      <xdr:colOff>133350</xdr:colOff>
      <xdr:row>181</xdr:row>
      <xdr:rowOff>152400</xdr:rowOff>
    </xdr:to>
    <xdr:cxnSp macro="">
      <xdr:nvCxnSpPr>
        <xdr:cNvPr id="275" name="DOTTED_LINE">
          <a:extLst>
            <a:ext uri="{FF2B5EF4-FFF2-40B4-BE49-F238E27FC236}">
              <a16:creationId xmlns:a16="http://schemas.microsoft.com/office/drawing/2014/main" id="{00000000-0008-0000-0100-000013010000}"/>
            </a:ext>
          </a:extLst>
        </xdr:cNvPr>
        <xdr:cNvCxnSpPr/>
      </xdr:nvCxnSpPr>
      <xdr:spPr>
        <a:xfrm>
          <a:off x="10763250" y="37014150"/>
          <a:ext cx="37433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581025</xdr:colOff>
      <xdr:row>182</xdr:row>
      <xdr:rowOff>152400</xdr:rowOff>
    </xdr:from>
    <xdr:to>
      <xdr:col>21</xdr:col>
      <xdr:colOff>133350</xdr:colOff>
      <xdr:row>182</xdr:row>
      <xdr:rowOff>152400</xdr:rowOff>
    </xdr:to>
    <xdr:cxnSp macro="">
      <xdr:nvCxnSpPr>
        <xdr:cNvPr id="279" name="DOTTED_LINE">
          <a:extLst>
            <a:ext uri="{FF2B5EF4-FFF2-40B4-BE49-F238E27FC236}">
              <a16:creationId xmlns:a16="http://schemas.microsoft.com/office/drawing/2014/main" id="{00000000-0008-0000-0100-000017010000}"/>
            </a:ext>
          </a:extLst>
        </xdr:cNvPr>
        <xdr:cNvCxnSpPr/>
      </xdr:nvCxnSpPr>
      <xdr:spPr>
        <a:xfrm>
          <a:off x="12449175" y="47910750"/>
          <a:ext cx="20574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666750</xdr:colOff>
      <xdr:row>184</xdr:row>
      <xdr:rowOff>152400</xdr:rowOff>
    </xdr:from>
    <xdr:to>
      <xdr:col>21</xdr:col>
      <xdr:colOff>133350</xdr:colOff>
      <xdr:row>184</xdr:row>
      <xdr:rowOff>152400</xdr:rowOff>
    </xdr:to>
    <xdr:cxnSp macro="">
      <xdr:nvCxnSpPr>
        <xdr:cNvPr id="281" name="DOTTED_LINE">
          <a:extLst>
            <a:ext uri="{FF2B5EF4-FFF2-40B4-BE49-F238E27FC236}">
              <a16:creationId xmlns:a16="http://schemas.microsoft.com/office/drawing/2014/main" id="{00000000-0008-0000-0100-000019010000}"/>
            </a:ext>
          </a:extLst>
        </xdr:cNvPr>
        <xdr:cNvCxnSpPr/>
      </xdr:nvCxnSpPr>
      <xdr:spPr>
        <a:xfrm>
          <a:off x="14325600" y="49291875"/>
          <a:ext cx="1809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57150</xdr:colOff>
      <xdr:row>194</xdr:row>
      <xdr:rowOff>95250</xdr:rowOff>
    </xdr:from>
    <xdr:to>
      <xdr:col>8</xdr:col>
      <xdr:colOff>148590</xdr:colOff>
      <xdr:row>194</xdr:row>
      <xdr:rowOff>186690</xdr:rowOff>
    </xdr:to>
    <xdr:sp macro="" textlink="">
      <xdr:nvSpPr>
        <xdr:cNvPr id="233" name="RT_ARROW_2">
          <a:extLst>
            <a:ext uri="{FF2B5EF4-FFF2-40B4-BE49-F238E27FC236}">
              <a16:creationId xmlns:a16="http://schemas.microsoft.com/office/drawing/2014/main" id="{00000000-0008-0000-0100-0000E9000000}"/>
            </a:ext>
          </a:extLst>
        </xdr:cNvPr>
        <xdr:cNvSpPr/>
      </xdr:nvSpPr>
      <xdr:spPr>
        <a:xfrm>
          <a:off x="8343900" y="35852100"/>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20</xdr:col>
      <xdr:colOff>533400</xdr:colOff>
      <xdr:row>188</xdr:row>
      <xdr:rowOff>152400</xdr:rowOff>
    </xdr:from>
    <xdr:to>
      <xdr:col>21</xdr:col>
      <xdr:colOff>133350</xdr:colOff>
      <xdr:row>188</xdr:row>
      <xdr:rowOff>152400</xdr:rowOff>
    </xdr:to>
    <xdr:cxnSp macro="">
      <xdr:nvCxnSpPr>
        <xdr:cNvPr id="234" name="DOTTED_LINE">
          <a:extLst>
            <a:ext uri="{FF2B5EF4-FFF2-40B4-BE49-F238E27FC236}">
              <a16:creationId xmlns:a16="http://schemas.microsoft.com/office/drawing/2014/main" id="{00000000-0008-0000-0100-0000EA000000}"/>
            </a:ext>
          </a:extLst>
        </xdr:cNvPr>
        <xdr:cNvCxnSpPr/>
      </xdr:nvCxnSpPr>
      <xdr:spPr>
        <a:xfrm>
          <a:off x="14192250" y="37909500"/>
          <a:ext cx="3143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85725</xdr:colOff>
      <xdr:row>244</xdr:row>
      <xdr:rowOff>152400</xdr:rowOff>
    </xdr:from>
    <xdr:to>
      <xdr:col>19</xdr:col>
      <xdr:colOff>66675</xdr:colOff>
      <xdr:row>244</xdr:row>
      <xdr:rowOff>152400</xdr:rowOff>
    </xdr:to>
    <xdr:cxnSp macro="">
      <xdr:nvCxnSpPr>
        <xdr:cNvPr id="248" name="DOTTED_LINE">
          <a:extLst>
            <a:ext uri="{FF2B5EF4-FFF2-40B4-BE49-F238E27FC236}">
              <a16:creationId xmlns:a16="http://schemas.microsoft.com/office/drawing/2014/main" id="{00000000-0008-0000-0100-0000F8000000}"/>
            </a:ext>
          </a:extLst>
        </xdr:cNvPr>
        <xdr:cNvCxnSpPr/>
      </xdr:nvCxnSpPr>
      <xdr:spPr>
        <a:xfrm>
          <a:off x="3829050" y="50615850"/>
          <a:ext cx="15906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21</xdr:col>
      <xdr:colOff>142875</xdr:colOff>
      <xdr:row>240</xdr:row>
      <xdr:rowOff>247650</xdr:rowOff>
    </xdr:from>
    <xdr:to>
      <xdr:col>24</xdr:col>
      <xdr:colOff>95250</xdr:colOff>
      <xdr:row>242</xdr:row>
      <xdr:rowOff>0</xdr:rowOff>
    </xdr:to>
    <xdr:sp macro="" textlink="">
      <xdr:nvSpPr>
        <xdr:cNvPr id="255" name="LINK_RENTAL_TOC">
          <a:hlinkClick xmlns:r="http://schemas.openxmlformats.org/officeDocument/2006/relationships" r:id="rId16"/>
          <a:extLst>
            <a:ext uri="{FF2B5EF4-FFF2-40B4-BE49-F238E27FC236}">
              <a16:creationId xmlns:a16="http://schemas.microsoft.com/office/drawing/2014/main" id="{00000000-0008-0000-0100-0000FF000000}"/>
            </a:ext>
          </a:extLst>
        </xdr:cNvPr>
        <xdr:cNvSpPr/>
      </xdr:nvSpPr>
      <xdr:spPr>
        <a:xfrm>
          <a:off x="14516100" y="4732972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xdr:from>
      <xdr:col>15</xdr:col>
      <xdr:colOff>114300</xdr:colOff>
      <xdr:row>245</xdr:row>
      <xdr:rowOff>152400</xdr:rowOff>
    </xdr:from>
    <xdr:to>
      <xdr:col>19</xdr:col>
      <xdr:colOff>66675</xdr:colOff>
      <xdr:row>245</xdr:row>
      <xdr:rowOff>152400</xdr:rowOff>
    </xdr:to>
    <xdr:cxnSp macro="">
      <xdr:nvCxnSpPr>
        <xdr:cNvPr id="262" name="DOTTED_LINE">
          <a:extLst>
            <a:ext uri="{FF2B5EF4-FFF2-40B4-BE49-F238E27FC236}">
              <a16:creationId xmlns:a16="http://schemas.microsoft.com/office/drawing/2014/main" id="{00000000-0008-0000-0100-000006010000}"/>
            </a:ext>
          </a:extLst>
        </xdr:cNvPr>
        <xdr:cNvCxnSpPr/>
      </xdr:nvCxnSpPr>
      <xdr:spPr>
        <a:xfrm>
          <a:off x="3676650" y="50892075"/>
          <a:ext cx="17430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257175</xdr:colOff>
      <xdr:row>246</xdr:row>
      <xdr:rowOff>152400</xdr:rowOff>
    </xdr:from>
    <xdr:to>
      <xdr:col>21</xdr:col>
      <xdr:colOff>133350</xdr:colOff>
      <xdr:row>246</xdr:row>
      <xdr:rowOff>152400</xdr:rowOff>
    </xdr:to>
    <xdr:cxnSp macro="">
      <xdr:nvCxnSpPr>
        <xdr:cNvPr id="263" name="DOTTED_LINE">
          <a:extLst>
            <a:ext uri="{FF2B5EF4-FFF2-40B4-BE49-F238E27FC236}">
              <a16:creationId xmlns:a16="http://schemas.microsoft.com/office/drawing/2014/main" id="{00000000-0008-0000-0100-000007010000}"/>
            </a:ext>
          </a:extLst>
        </xdr:cNvPr>
        <xdr:cNvCxnSpPr/>
      </xdr:nvCxnSpPr>
      <xdr:spPr>
        <a:xfrm>
          <a:off x="4000500" y="51168300"/>
          <a:ext cx="23812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47625</xdr:colOff>
      <xdr:row>253</xdr:row>
      <xdr:rowOff>152400</xdr:rowOff>
    </xdr:from>
    <xdr:to>
      <xdr:col>21</xdr:col>
      <xdr:colOff>133350</xdr:colOff>
      <xdr:row>253</xdr:row>
      <xdr:rowOff>152400</xdr:rowOff>
    </xdr:to>
    <xdr:cxnSp macro="">
      <xdr:nvCxnSpPr>
        <xdr:cNvPr id="265" name="DOTTED_LINE">
          <a:extLst>
            <a:ext uri="{FF2B5EF4-FFF2-40B4-BE49-F238E27FC236}">
              <a16:creationId xmlns:a16="http://schemas.microsoft.com/office/drawing/2014/main" id="{00000000-0008-0000-0100-000009010000}"/>
            </a:ext>
          </a:extLst>
        </xdr:cNvPr>
        <xdr:cNvCxnSpPr/>
      </xdr:nvCxnSpPr>
      <xdr:spPr>
        <a:xfrm>
          <a:off x="3609975" y="52273200"/>
          <a:ext cx="27717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228600</xdr:colOff>
      <xdr:row>254</xdr:row>
      <xdr:rowOff>152400</xdr:rowOff>
    </xdr:from>
    <xdr:to>
      <xdr:col>21</xdr:col>
      <xdr:colOff>133350</xdr:colOff>
      <xdr:row>254</xdr:row>
      <xdr:rowOff>152400</xdr:rowOff>
    </xdr:to>
    <xdr:cxnSp macro="">
      <xdr:nvCxnSpPr>
        <xdr:cNvPr id="267" name="DOTTED_LINE">
          <a:extLst>
            <a:ext uri="{FF2B5EF4-FFF2-40B4-BE49-F238E27FC236}">
              <a16:creationId xmlns:a16="http://schemas.microsoft.com/office/drawing/2014/main" id="{00000000-0008-0000-0100-00000B010000}"/>
            </a:ext>
          </a:extLst>
        </xdr:cNvPr>
        <xdr:cNvCxnSpPr/>
      </xdr:nvCxnSpPr>
      <xdr:spPr>
        <a:xfrm>
          <a:off x="5762625" y="52549425"/>
          <a:ext cx="6191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685800</xdr:colOff>
      <xdr:row>255</xdr:row>
      <xdr:rowOff>152400</xdr:rowOff>
    </xdr:from>
    <xdr:to>
      <xdr:col>21</xdr:col>
      <xdr:colOff>133350</xdr:colOff>
      <xdr:row>255</xdr:row>
      <xdr:rowOff>152400</xdr:rowOff>
    </xdr:to>
    <xdr:cxnSp macro="">
      <xdr:nvCxnSpPr>
        <xdr:cNvPr id="268" name="DOTTED_LINE">
          <a:extLst>
            <a:ext uri="{FF2B5EF4-FFF2-40B4-BE49-F238E27FC236}">
              <a16:creationId xmlns:a16="http://schemas.microsoft.com/office/drawing/2014/main" id="{00000000-0008-0000-0100-00000C010000}"/>
            </a:ext>
          </a:extLst>
        </xdr:cNvPr>
        <xdr:cNvCxnSpPr/>
      </xdr:nvCxnSpPr>
      <xdr:spPr>
        <a:xfrm>
          <a:off x="10763250" y="36737925"/>
          <a:ext cx="37433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238125</xdr:colOff>
      <xdr:row>260</xdr:row>
      <xdr:rowOff>152400</xdr:rowOff>
    </xdr:from>
    <xdr:to>
      <xdr:col>21</xdr:col>
      <xdr:colOff>133350</xdr:colOff>
      <xdr:row>260</xdr:row>
      <xdr:rowOff>152400</xdr:rowOff>
    </xdr:to>
    <xdr:cxnSp macro="">
      <xdr:nvCxnSpPr>
        <xdr:cNvPr id="304" name="DOTTED_LINE">
          <a:extLst>
            <a:ext uri="{FF2B5EF4-FFF2-40B4-BE49-F238E27FC236}">
              <a16:creationId xmlns:a16="http://schemas.microsoft.com/office/drawing/2014/main" id="{00000000-0008-0000-0100-000030010000}"/>
            </a:ext>
          </a:extLst>
        </xdr:cNvPr>
        <xdr:cNvCxnSpPr/>
      </xdr:nvCxnSpPr>
      <xdr:spPr>
        <a:xfrm>
          <a:off x="3981450" y="54483000"/>
          <a:ext cx="24003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438150</xdr:colOff>
      <xdr:row>261</xdr:row>
      <xdr:rowOff>152400</xdr:rowOff>
    </xdr:from>
    <xdr:to>
      <xdr:col>21</xdr:col>
      <xdr:colOff>133350</xdr:colOff>
      <xdr:row>261</xdr:row>
      <xdr:rowOff>152400</xdr:rowOff>
    </xdr:to>
    <xdr:cxnSp macro="">
      <xdr:nvCxnSpPr>
        <xdr:cNvPr id="305" name="DOTTED_LINE">
          <a:extLst>
            <a:ext uri="{FF2B5EF4-FFF2-40B4-BE49-F238E27FC236}">
              <a16:creationId xmlns:a16="http://schemas.microsoft.com/office/drawing/2014/main" id="{00000000-0008-0000-0100-000031010000}"/>
            </a:ext>
          </a:extLst>
        </xdr:cNvPr>
        <xdr:cNvCxnSpPr/>
      </xdr:nvCxnSpPr>
      <xdr:spPr>
        <a:xfrm>
          <a:off x="5076825" y="54759225"/>
          <a:ext cx="13049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152400</xdr:colOff>
      <xdr:row>262</xdr:row>
      <xdr:rowOff>152400</xdr:rowOff>
    </xdr:from>
    <xdr:to>
      <xdr:col>21</xdr:col>
      <xdr:colOff>133350</xdr:colOff>
      <xdr:row>262</xdr:row>
      <xdr:rowOff>152400</xdr:rowOff>
    </xdr:to>
    <xdr:cxnSp macro="">
      <xdr:nvCxnSpPr>
        <xdr:cNvPr id="306" name="DOTTED_LINE">
          <a:extLst>
            <a:ext uri="{FF2B5EF4-FFF2-40B4-BE49-F238E27FC236}">
              <a16:creationId xmlns:a16="http://schemas.microsoft.com/office/drawing/2014/main" id="{00000000-0008-0000-0100-000032010000}"/>
            </a:ext>
          </a:extLst>
        </xdr:cNvPr>
        <xdr:cNvCxnSpPr/>
      </xdr:nvCxnSpPr>
      <xdr:spPr>
        <a:xfrm>
          <a:off x="2819400" y="55035450"/>
          <a:ext cx="35623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666750</xdr:colOff>
      <xdr:row>273</xdr:row>
      <xdr:rowOff>152400</xdr:rowOff>
    </xdr:from>
    <xdr:to>
      <xdr:col>21</xdr:col>
      <xdr:colOff>133350</xdr:colOff>
      <xdr:row>273</xdr:row>
      <xdr:rowOff>152400</xdr:rowOff>
    </xdr:to>
    <xdr:cxnSp macro="">
      <xdr:nvCxnSpPr>
        <xdr:cNvPr id="310" name="DOTTED_LINE">
          <a:extLst>
            <a:ext uri="{FF2B5EF4-FFF2-40B4-BE49-F238E27FC236}">
              <a16:creationId xmlns:a16="http://schemas.microsoft.com/office/drawing/2014/main" id="{00000000-0008-0000-0100-000036010000}"/>
            </a:ext>
          </a:extLst>
        </xdr:cNvPr>
        <xdr:cNvCxnSpPr/>
      </xdr:nvCxnSpPr>
      <xdr:spPr>
        <a:xfrm>
          <a:off x="5305425" y="58073925"/>
          <a:ext cx="10763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57150</xdr:colOff>
      <xdr:row>274</xdr:row>
      <xdr:rowOff>95250</xdr:rowOff>
    </xdr:from>
    <xdr:to>
      <xdr:col>8</xdr:col>
      <xdr:colOff>148590</xdr:colOff>
      <xdr:row>274</xdr:row>
      <xdr:rowOff>186690</xdr:rowOff>
    </xdr:to>
    <xdr:sp macro="" textlink="">
      <xdr:nvSpPr>
        <xdr:cNvPr id="311" name="RT_ARROW_2">
          <a:extLst>
            <a:ext uri="{FF2B5EF4-FFF2-40B4-BE49-F238E27FC236}">
              <a16:creationId xmlns:a16="http://schemas.microsoft.com/office/drawing/2014/main" id="{00000000-0008-0000-0100-000037010000}"/>
            </a:ext>
          </a:extLst>
        </xdr:cNvPr>
        <xdr:cNvSpPr/>
      </xdr:nvSpPr>
      <xdr:spPr>
        <a:xfrm>
          <a:off x="8343900" y="35852100"/>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12</xdr:col>
      <xdr:colOff>495300</xdr:colOff>
      <xdr:row>274</xdr:row>
      <xdr:rowOff>142875</xdr:rowOff>
    </xdr:from>
    <xdr:to>
      <xdr:col>21</xdr:col>
      <xdr:colOff>104775</xdr:colOff>
      <xdr:row>274</xdr:row>
      <xdr:rowOff>142875</xdr:rowOff>
    </xdr:to>
    <xdr:cxnSp macro="">
      <xdr:nvCxnSpPr>
        <xdr:cNvPr id="312" name="DOTTED_LINE">
          <a:extLst>
            <a:ext uri="{FF2B5EF4-FFF2-40B4-BE49-F238E27FC236}">
              <a16:creationId xmlns:a16="http://schemas.microsoft.com/office/drawing/2014/main" id="{00000000-0008-0000-0100-000038010000}"/>
            </a:ext>
          </a:extLst>
        </xdr:cNvPr>
        <xdr:cNvCxnSpPr/>
      </xdr:nvCxnSpPr>
      <xdr:spPr>
        <a:xfrm>
          <a:off x="10572750" y="58893075"/>
          <a:ext cx="39052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57150</xdr:colOff>
      <xdr:row>275</xdr:row>
      <xdr:rowOff>95250</xdr:rowOff>
    </xdr:from>
    <xdr:to>
      <xdr:col>8</xdr:col>
      <xdr:colOff>148590</xdr:colOff>
      <xdr:row>275</xdr:row>
      <xdr:rowOff>186690</xdr:rowOff>
    </xdr:to>
    <xdr:sp macro="" textlink="">
      <xdr:nvSpPr>
        <xdr:cNvPr id="313" name="RT_ARROW_2">
          <a:extLst>
            <a:ext uri="{FF2B5EF4-FFF2-40B4-BE49-F238E27FC236}">
              <a16:creationId xmlns:a16="http://schemas.microsoft.com/office/drawing/2014/main" id="{00000000-0008-0000-0100-000039010000}"/>
            </a:ext>
          </a:extLst>
        </xdr:cNvPr>
        <xdr:cNvSpPr/>
      </xdr:nvSpPr>
      <xdr:spPr>
        <a:xfrm>
          <a:off x="8343900" y="35852100"/>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14</xdr:col>
      <xdr:colOff>0</xdr:colOff>
      <xdr:row>275</xdr:row>
      <xdr:rowOff>142875</xdr:rowOff>
    </xdr:from>
    <xdr:to>
      <xdr:col>21</xdr:col>
      <xdr:colOff>104775</xdr:colOff>
      <xdr:row>275</xdr:row>
      <xdr:rowOff>142875</xdr:rowOff>
    </xdr:to>
    <xdr:cxnSp macro="">
      <xdr:nvCxnSpPr>
        <xdr:cNvPr id="314" name="DOTTED_LINE">
          <a:extLst>
            <a:ext uri="{FF2B5EF4-FFF2-40B4-BE49-F238E27FC236}">
              <a16:creationId xmlns:a16="http://schemas.microsoft.com/office/drawing/2014/main" id="{00000000-0008-0000-0100-00003A010000}"/>
            </a:ext>
          </a:extLst>
        </xdr:cNvPr>
        <xdr:cNvCxnSpPr/>
      </xdr:nvCxnSpPr>
      <xdr:spPr>
        <a:xfrm>
          <a:off x="10972800" y="59169300"/>
          <a:ext cx="35052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57150</xdr:colOff>
      <xdr:row>276</xdr:row>
      <xdr:rowOff>95250</xdr:rowOff>
    </xdr:from>
    <xdr:to>
      <xdr:col>8</xdr:col>
      <xdr:colOff>148590</xdr:colOff>
      <xdr:row>276</xdr:row>
      <xdr:rowOff>186690</xdr:rowOff>
    </xdr:to>
    <xdr:sp macro="" textlink="">
      <xdr:nvSpPr>
        <xdr:cNvPr id="315" name="RT_ARROW_2">
          <a:extLst>
            <a:ext uri="{FF2B5EF4-FFF2-40B4-BE49-F238E27FC236}">
              <a16:creationId xmlns:a16="http://schemas.microsoft.com/office/drawing/2014/main" id="{00000000-0008-0000-0100-00003B010000}"/>
            </a:ext>
          </a:extLst>
        </xdr:cNvPr>
        <xdr:cNvSpPr/>
      </xdr:nvSpPr>
      <xdr:spPr>
        <a:xfrm>
          <a:off x="8343900" y="35852100"/>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13</xdr:col>
      <xdr:colOff>123825</xdr:colOff>
      <xdr:row>276</xdr:row>
      <xdr:rowOff>142875</xdr:rowOff>
    </xdr:from>
    <xdr:to>
      <xdr:col>21</xdr:col>
      <xdr:colOff>104775</xdr:colOff>
      <xdr:row>276</xdr:row>
      <xdr:rowOff>142875</xdr:rowOff>
    </xdr:to>
    <xdr:cxnSp macro="">
      <xdr:nvCxnSpPr>
        <xdr:cNvPr id="316" name="DOTTED_LINE">
          <a:extLst>
            <a:ext uri="{FF2B5EF4-FFF2-40B4-BE49-F238E27FC236}">
              <a16:creationId xmlns:a16="http://schemas.microsoft.com/office/drawing/2014/main" id="{00000000-0008-0000-0100-00003C010000}"/>
            </a:ext>
          </a:extLst>
        </xdr:cNvPr>
        <xdr:cNvCxnSpPr/>
      </xdr:nvCxnSpPr>
      <xdr:spPr>
        <a:xfrm>
          <a:off x="10915650" y="59445525"/>
          <a:ext cx="35623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533400</xdr:colOff>
      <xdr:row>278</xdr:row>
      <xdr:rowOff>152400</xdr:rowOff>
    </xdr:from>
    <xdr:to>
      <xdr:col>21</xdr:col>
      <xdr:colOff>133350</xdr:colOff>
      <xdr:row>278</xdr:row>
      <xdr:rowOff>152400</xdr:rowOff>
    </xdr:to>
    <xdr:cxnSp macro="">
      <xdr:nvCxnSpPr>
        <xdr:cNvPr id="317" name="DOTTED_LINE">
          <a:extLst>
            <a:ext uri="{FF2B5EF4-FFF2-40B4-BE49-F238E27FC236}">
              <a16:creationId xmlns:a16="http://schemas.microsoft.com/office/drawing/2014/main" id="{00000000-0008-0000-0100-00003D010000}"/>
            </a:ext>
          </a:extLst>
        </xdr:cNvPr>
        <xdr:cNvCxnSpPr/>
      </xdr:nvCxnSpPr>
      <xdr:spPr>
        <a:xfrm>
          <a:off x="16192500" y="60007500"/>
          <a:ext cx="4191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76200</xdr:colOff>
      <xdr:row>280</xdr:row>
      <xdr:rowOff>152400</xdr:rowOff>
    </xdr:from>
    <xdr:to>
      <xdr:col>21</xdr:col>
      <xdr:colOff>133350</xdr:colOff>
      <xdr:row>280</xdr:row>
      <xdr:rowOff>152400</xdr:rowOff>
    </xdr:to>
    <xdr:cxnSp macro="">
      <xdr:nvCxnSpPr>
        <xdr:cNvPr id="318" name="DOTTED_LINE">
          <a:extLst>
            <a:ext uri="{FF2B5EF4-FFF2-40B4-BE49-F238E27FC236}">
              <a16:creationId xmlns:a16="http://schemas.microsoft.com/office/drawing/2014/main" id="{00000000-0008-0000-0100-00003E010000}"/>
            </a:ext>
          </a:extLst>
        </xdr:cNvPr>
        <xdr:cNvCxnSpPr/>
      </xdr:nvCxnSpPr>
      <xdr:spPr>
        <a:xfrm>
          <a:off x="13554075" y="60559950"/>
          <a:ext cx="9525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571500</xdr:colOff>
      <xdr:row>282</xdr:row>
      <xdr:rowOff>152400</xdr:rowOff>
    </xdr:from>
    <xdr:to>
      <xdr:col>21</xdr:col>
      <xdr:colOff>133350</xdr:colOff>
      <xdr:row>282</xdr:row>
      <xdr:rowOff>152400</xdr:rowOff>
    </xdr:to>
    <xdr:cxnSp macro="">
      <xdr:nvCxnSpPr>
        <xdr:cNvPr id="319" name="DOTTED_LINE">
          <a:extLst>
            <a:ext uri="{FF2B5EF4-FFF2-40B4-BE49-F238E27FC236}">
              <a16:creationId xmlns:a16="http://schemas.microsoft.com/office/drawing/2014/main" id="{00000000-0008-0000-0100-00003F010000}"/>
            </a:ext>
          </a:extLst>
        </xdr:cNvPr>
        <xdr:cNvCxnSpPr/>
      </xdr:nvCxnSpPr>
      <xdr:spPr>
        <a:xfrm>
          <a:off x="11544300" y="61112400"/>
          <a:ext cx="29622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19050</xdr:colOff>
      <xdr:row>284</xdr:row>
      <xdr:rowOff>152400</xdr:rowOff>
    </xdr:from>
    <xdr:to>
      <xdr:col>21</xdr:col>
      <xdr:colOff>133350</xdr:colOff>
      <xdr:row>284</xdr:row>
      <xdr:rowOff>152400</xdr:rowOff>
    </xdr:to>
    <xdr:cxnSp macro="">
      <xdr:nvCxnSpPr>
        <xdr:cNvPr id="321" name="DOTTED_LINE">
          <a:extLst>
            <a:ext uri="{FF2B5EF4-FFF2-40B4-BE49-F238E27FC236}">
              <a16:creationId xmlns:a16="http://schemas.microsoft.com/office/drawing/2014/main" id="{00000000-0008-0000-0100-000041010000}"/>
            </a:ext>
          </a:extLst>
        </xdr:cNvPr>
        <xdr:cNvCxnSpPr/>
      </xdr:nvCxnSpPr>
      <xdr:spPr>
        <a:xfrm>
          <a:off x="12782550" y="62217300"/>
          <a:ext cx="17240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57150</xdr:colOff>
      <xdr:row>285</xdr:row>
      <xdr:rowOff>95250</xdr:rowOff>
    </xdr:from>
    <xdr:to>
      <xdr:col>8</xdr:col>
      <xdr:colOff>148590</xdr:colOff>
      <xdr:row>285</xdr:row>
      <xdr:rowOff>186690</xdr:rowOff>
    </xdr:to>
    <xdr:sp macro="" textlink="">
      <xdr:nvSpPr>
        <xdr:cNvPr id="322" name="RT_ARROW_2">
          <a:extLst>
            <a:ext uri="{FF2B5EF4-FFF2-40B4-BE49-F238E27FC236}">
              <a16:creationId xmlns:a16="http://schemas.microsoft.com/office/drawing/2014/main" id="{00000000-0008-0000-0100-000042010000}"/>
            </a:ext>
          </a:extLst>
        </xdr:cNvPr>
        <xdr:cNvSpPr/>
      </xdr:nvSpPr>
      <xdr:spPr>
        <a:xfrm>
          <a:off x="8343900" y="77133450"/>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20</xdr:col>
      <xdr:colOff>619125</xdr:colOff>
      <xdr:row>514</xdr:row>
      <xdr:rowOff>142875</xdr:rowOff>
    </xdr:from>
    <xdr:to>
      <xdr:col>21</xdr:col>
      <xdr:colOff>104775</xdr:colOff>
      <xdr:row>514</xdr:row>
      <xdr:rowOff>142875</xdr:rowOff>
    </xdr:to>
    <xdr:cxnSp macro="">
      <xdr:nvCxnSpPr>
        <xdr:cNvPr id="271" name="DOTTED_LINE">
          <a:extLst>
            <a:ext uri="{FF2B5EF4-FFF2-40B4-BE49-F238E27FC236}">
              <a16:creationId xmlns:a16="http://schemas.microsoft.com/office/drawing/2014/main" id="{00000000-0008-0000-0100-00000F010000}"/>
            </a:ext>
          </a:extLst>
        </xdr:cNvPr>
        <xdr:cNvCxnSpPr/>
      </xdr:nvCxnSpPr>
      <xdr:spPr>
        <a:xfrm>
          <a:off x="14277975" y="99431475"/>
          <a:ext cx="2000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352425</xdr:colOff>
      <xdr:row>523</xdr:row>
      <xdr:rowOff>142875</xdr:rowOff>
    </xdr:from>
    <xdr:to>
      <xdr:col>21</xdr:col>
      <xdr:colOff>104775</xdr:colOff>
      <xdr:row>523</xdr:row>
      <xdr:rowOff>142875</xdr:rowOff>
    </xdr:to>
    <xdr:cxnSp macro="">
      <xdr:nvCxnSpPr>
        <xdr:cNvPr id="288" name="DOTTED_LINE">
          <a:extLst>
            <a:ext uri="{FF2B5EF4-FFF2-40B4-BE49-F238E27FC236}">
              <a16:creationId xmlns:a16="http://schemas.microsoft.com/office/drawing/2014/main" id="{00000000-0008-0000-0100-000020010000}"/>
            </a:ext>
          </a:extLst>
        </xdr:cNvPr>
        <xdr:cNvCxnSpPr/>
      </xdr:nvCxnSpPr>
      <xdr:spPr>
        <a:xfrm>
          <a:off x="14011275" y="101917500"/>
          <a:ext cx="4667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247650</xdr:colOff>
      <xdr:row>532</xdr:row>
      <xdr:rowOff>142875</xdr:rowOff>
    </xdr:from>
    <xdr:to>
      <xdr:col>21</xdr:col>
      <xdr:colOff>104775</xdr:colOff>
      <xdr:row>532</xdr:row>
      <xdr:rowOff>142875</xdr:rowOff>
    </xdr:to>
    <xdr:cxnSp macro="">
      <xdr:nvCxnSpPr>
        <xdr:cNvPr id="302" name="DOTTED_LINE">
          <a:extLst>
            <a:ext uri="{FF2B5EF4-FFF2-40B4-BE49-F238E27FC236}">
              <a16:creationId xmlns:a16="http://schemas.microsoft.com/office/drawing/2014/main" id="{00000000-0008-0000-0100-00002E010000}"/>
            </a:ext>
          </a:extLst>
        </xdr:cNvPr>
        <xdr:cNvCxnSpPr/>
      </xdr:nvCxnSpPr>
      <xdr:spPr>
        <a:xfrm>
          <a:off x="13011150" y="140217525"/>
          <a:ext cx="14668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123825</xdr:colOff>
      <xdr:row>544</xdr:row>
      <xdr:rowOff>152400</xdr:rowOff>
    </xdr:from>
    <xdr:to>
      <xdr:col>21</xdr:col>
      <xdr:colOff>133350</xdr:colOff>
      <xdr:row>544</xdr:row>
      <xdr:rowOff>152400</xdr:rowOff>
    </xdr:to>
    <xdr:cxnSp macro="">
      <xdr:nvCxnSpPr>
        <xdr:cNvPr id="324" name="DOTTED_LINE">
          <a:extLst>
            <a:ext uri="{FF2B5EF4-FFF2-40B4-BE49-F238E27FC236}">
              <a16:creationId xmlns:a16="http://schemas.microsoft.com/office/drawing/2014/main" id="{00000000-0008-0000-0100-000044010000}"/>
            </a:ext>
          </a:extLst>
        </xdr:cNvPr>
        <xdr:cNvCxnSpPr/>
      </xdr:nvCxnSpPr>
      <xdr:spPr>
        <a:xfrm>
          <a:off x="10201275" y="106346625"/>
          <a:ext cx="43053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600075</xdr:colOff>
      <xdr:row>545</xdr:row>
      <xdr:rowOff>152400</xdr:rowOff>
    </xdr:from>
    <xdr:to>
      <xdr:col>21</xdr:col>
      <xdr:colOff>133350</xdr:colOff>
      <xdr:row>545</xdr:row>
      <xdr:rowOff>152400</xdr:rowOff>
    </xdr:to>
    <xdr:cxnSp macro="">
      <xdr:nvCxnSpPr>
        <xdr:cNvPr id="325" name="DOTTED_LINE">
          <a:extLst>
            <a:ext uri="{FF2B5EF4-FFF2-40B4-BE49-F238E27FC236}">
              <a16:creationId xmlns:a16="http://schemas.microsoft.com/office/drawing/2014/main" id="{00000000-0008-0000-0100-000045010000}"/>
            </a:ext>
          </a:extLst>
        </xdr:cNvPr>
        <xdr:cNvCxnSpPr/>
      </xdr:nvCxnSpPr>
      <xdr:spPr>
        <a:xfrm>
          <a:off x="10677525" y="106622850"/>
          <a:ext cx="38290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104775</xdr:colOff>
      <xdr:row>546</xdr:row>
      <xdr:rowOff>152400</xdr:rowOff>
    </xdr:from>
    <xdr:to>
      <xdr:col>21</xdr:col>
      <xdr:colOff>133350</xdr:colOff>
      <xdr:row>546</xdr:row>
      <xdr:rowOff>152400</xdr:rowOff>
    </xdr:to>
    <xdr:cxnSp macro="">
      <xdr:nvCxnSpPr>
        <xdr:cNvPr id="326" name="DOTTED_LINE">
          <a:extLst>
            <a:ext uri="{FF2B5EF4-FFF2-40B4-BE49-F238E27FC236}">
              <a16:creationId xmlns:a16="http://schemas.microsoft.com/office/drawing/2014/main" id="{00000000-0008-0000-0100-000046010000}"/>
            </a:ext>
          </a:extLst>
        </xdr:cNvPr>
        <xdr:cNvCxnSpPr/>
      </xdr:nvCxnSpPr>
      <xdr:spPr>
        <a:xfrm>
          <a:off x="10182225" y="106899075"/>
          <a:ext cx="43243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657225</xdr:colOff>
      <xdr:row>547</xdr:row>
      <xdr:rowOff>152400</xdr:rowOff>
    </xdr:from>
    <xdr:to>
      <xdr:col>21</xdr:col>
      <xdr:colOff>133350</xdr:colOff>
      <xdr:row>547</xdr:row>
      <xdr:rowOff>152400</xdr:rowOff>
    </xdr:to>
    <xdr:cxnSp macro="">
      <xdr:nvCxnSpPr>
        <xdr:cNvPr id="327" name="DOTTED_LINE">
          <a:extLst>
            <a:ext uri="{FF2B5EF4-FFF2-40B4-BE49-F238E27FC236}">
              <a16:creationId xmlns:a16="http://schemas.microsoft.com/office/drawing/2014/main" id="{00000000-0008-0000-0100-000047010000}"/>
            </a:ext>
          </a:extLst>
        </xdr:cNvPr>
        <xdr:cNvCxnSpPr/>
      </xdr:nvCxnSpPr>
      <xdr:spPr>
        <a:xfrm>
          <a:off x="9839325" y="107175300"/>
          <a:ext cx="46672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219075</xdr:colOff>
      <xdr:row>548</xdr:row>
      <xdr:rowOff>152400</xdr:rowOff>
    </xdr:from>
    <xdr:to>
      <xdr:col>21</xdr:col>
      <xdr:colOff>133350</xdr:colOff>
      <xdr:row>548</xdr:row>
      <xdr:rowOff>152400</xdr:rowOff>
    </xdr:to>
    <xdr:cxnSp macro="">
      <xdr:nvCxnSpPr>
        <xdr:cNvPr id="328" name="DOTTED_LINE">
          <a:extLst>
            <a:ext uri="{FF2B5EF4-FFF2-40B4-BE49-F238E27FC236}">
              <a16:creationId xmlns:a16="http://schemas.microsoft.com/office/drawing/2014/main" id="{00000000-0008-0000-0100-000048010000}"/>
            </a:ext>
          </a:extLst>
        </xdr:cNvPr>
        <xdr:cNvCxnSpPr/>
      </xdr:nvCxnSpPr>
      <xdr:spPr>
        <a:xfrm>
          <a:off x="10296525" y="107451525"/>
          <a:ext cx="42100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123825</xdr:colOff>
      <xdr:row>549</xdr:row>
      <xdr:rowOff>152400</xdr:rowOff>
    </xdr:from>
    <xdr:to>
      <xdr:col>21</xdr:col>
      <xdr:colOff>133350</xdr:colOff>
      <xdr:row>549</xdr:row>
      <xdr:rowOff>152400</xdr:rowOff>
    </xdr:to>
    <xdr:cxnSp macro="">
      <xdr:nvCxnSpPr>
        <xdr:cNvPr id="329" name="DOTTED_LINE">
          <a:extLst>
            <a:ext uri="{FF2B5EF4-FFF2-40B4-BE49-F238E27FC236}">
              <a16:creationId xmlns:a16="http://schemas.microsoft.com/office/drawing/2014/main" id="{00000000-0008-0000-0100-000049010000}"/>
            </a:ext>
          </a:extLst>
        </xdr:cNvPr>
        <xdr:cNvCxnSpPr/>
      </xdr:nvCxnSpPr>
      <xdr:spPr>
        <a:xfrm>
          <a:off x="10201275" y="107727750"/>
          <a:ext cx="43053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21</xdr:col>
      <xdr:colOff>161925</xdr:colOff>
      <xdr:row>364</xdr:row>
      <xdr:rowOff>257175</xdr:rowOff>
    </xdr:from>
    <xdr:to>
      <xdr:col>24</xdr:col>
      <xdr:colOff>114300</xdr:colOff>
      <xdr:row>366</xdr:row>
      <xdr:rowOff>9525</xdr:rowOff>
    </xdr:to>
    <xdr:sp macro="" textlink="">
      <xdr:nvSpPr>
        <xdr:cNvPr id="280" name="LINK_RENTAL_TOC">
          <a:hlinkClick xmlns:r="http://schemas.openxmlformats.org/officeDocument/2006/relationships" r:id="rId16"/>
          <a:extLst>
            <a:ext uri="{FF2B5EF4-FFF2-40B4-BE49-F238E27FC236}">
              <a16:creationId xmlns:a16="http://schemas.microsoft.com/office/drawing/2014/main" id="{00000000-0008-0000-0100-000018010000}"/>
            </a:ext>
          </a:extLst>
        </xdr:cNvPr>
        <xdr:cNvSpPr/>
      </xdr:nvSpPr>
      <xdr:spPr>
        <a:xfrm>
          <a:off x="14535150" y="6170295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21</xdr:col>
      <xdr:colOff>161925</xdr:colOff>
      <xdr:row>476</xdr:row>
      <xdr:rowOff>247650</xdr:rowOff>
    </xdr:from>
    <xdr:to>
      <xdr:col>24</xdr:col>
      <xdr:colOff>114300</xdr:colOff>
      <xdr:row>478</xdr:row>
      <xdr:rowOff>0</xdr:rowOff>
    </xdr:to>
    <xdr:sp macro="" textlink="">
      <xdr:nvSpPr>
        <xdr:cNvPr id="414" name="LINK_RENTAL_TOC">
          <a:hlinkClick xmlns:r="http://schemas.openxmlformats.org/officeDocument/2006/relationships" r:id="rId16"/>
          <a:extLst>
            <a:ext uri="{FF2B5EF4-FFF2-40B4-BE49-F238E27FC236}">
              <a16:creationId xmlns:a16="http://schemas.microsoft.com/office/drawing/2014/main" id="{00000000-0008-0000-0100-00009E010000}"/>
            </a:ext>
          </a:extLst>
        </xdr:cNvPr>
        <xdr:cNvSpPr/>
      </xdr:nvSpPr>
      <xdr:spPr>
        <a:xfrm>
          <a:off x="14535150" y="9705022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oneCellAnchor>
    <xdr:from>
      <xdr:col>16</xdr:col>
      <xdr:colOff>314325</xdr:colOff>
      <xdr:row>12</xdr:row>
      <xdr:rowOff>9525</xdr:rowOff>
    </xdr:from>
    <xdr:ext cx="2181225" cy="264560"/>
    <xdr:sp macro="" textlink="$AC$13">
      <xdr:nvSpPr>
        <xdr:cNvPr id="437" name="TOC_SECTION_LINK">
          <a:hlinkClick xmlns:r="http://schemas.openxmlformats.org/officeDocument/2006/relationships" r:id="rId18"/>
          <a:extLst>
            <a:ext uri="{FF2B5EF4-FFF2-40B4-BE49-F238E27FC236}">
              <a16:creationId xmlns:a16="http://schemas.microsoft.com/office/drawing/2014/main" id="{00000000-0008-0000-0100-0000B5010000}"/>
            </a:ext>
          </a:extLst>
        </xdr:cNvPr>
        <xdr:cNvSpPr txBox="1"/>
      </xdr:nvSpPr>
      <xdr:spPr>
        <a:xfrm>
          <a:off x="12182475" y="2466975"/>
          <a:ext cx="2181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F422679D-A8C7-4B03-AA08-8BD864DB870C}" type="TxLink">
            <a:rPr lang="en-US" sz="900" b="1" i="0" u="sng" strike="noStrike">
              <a:solidFill>
                <a:srgbClr val="366092"/>
              </a:solidFill>
              <a:latin typeface="Arial"/>
              <a:cs typeface="Arial"/>
            </a:rPr>
            <a:pPr algn="l"/>
            <a:t>Targeting</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twoCellAnchor>
    <xdr:from>
      <xdr:col>13</xdr:col>
      <xdr:colOff>47625</xdr:colOff>
      <xdr:row>481</xdr:row>
      <xdr:rowOff>4762</xdr:rowOff>
    </xdr:from>
    <xdr:to>
      <xdr:col>13</xdr:col>
      <xdr:colOff>171450</xdr:colOff>
      <xdr:row>495</xdr:row>
      <xdr:rowOff>0</xdr:rowOff>
    </xdr:to>
    <xdr:sp macro="" textlink="">
      <xdr:nvSpPr>
        <xdr:cNvPr id="187" name="Line Callout 1 (Accent Bar) 186">
          <a:extLst>
            <a:ext uri="{FF2B5EF4-FFF2-40B4-BE49-F238E27FC236}">
              <a16:creationId xmlns:a16="http://schemas.microsoft.com/office/drawing/2014/main" id="{00000000-0008-0000-0100-0000BB000000}"/>
            </a:ext>
          </a:extLst>
        </xdr:cNvPr>
        <xdr:cNvSpPr/>
      </xdr:nvSpPr>
      <xdr:spPr>
        <a:xfrm>
          <a:off x="10839450" y="147042187"/>
          <a:ext cx="123825" cy="3862388"/>
        </a:xfrm>
        <a:prstGeom prst="accentCallout1">
          <a:avLst>
            <a:gd name="adj1" fmla="val 60945"/>
            <a:gd name="adj2" fmla="val -27399"/>
            <a:gd name="adj3" fmla="val 60968"/>
            <a:gd name="adj4" fmla="val -553197"/>
          </a:avLst>
        </a:prstGeom>
        <a:solidFill>
          <a:schemeClr val="accent1">
            <a:lumMod val="40000"/>
            <a:lumOff val="60000"/>
          </a:schemeClr>
        </a:solidFill>
        <a:ln w="38100">
          <a:solidFill>
            <a:schemeClr val="accent1">
              <a:lumMod val="75000"/>
            </a:schemeClr>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editAs="oneCell">
    <xdr:from>
      <xdr:col>21</xdr:col>
      <xdr:colOff>161925</xdr:colOff>
      <xdr:row>550</xdr:row>
      <xdr:rowOff>257175</xdr:rowOff>
    </xdr:from>
    <xdr:to>
      <xdr:col>24</xdr:col>
      <xdr:colOff>114300</xdr:colOff>
      <xdr:row>552</xdr:row>
      <xdr:rowOff>9525</xdr:rowOff>
    </xdr:to>
    <xdr:sp macro="" textlink="">
      <xdr:nvSpPr>
        <xdr:cNvPr id="188" name="LINK_RENTAL_TOC">
          <a:hlinkClick xmlns:r="http://schemas.openxmlformats.org/officeDocument/2006/relationships" r:id="rId16"/>
          <a:extLst>
            <a:ext uri="{FF2B5EF4-FFF2-40B4-BE49-F238E27FC236}">
              <a16:creationId xmlns:a16="http://schemas.microsoft.com/office/drawing/2014/main" id="{00000000-0008-0000-0100-0000BC000000}"/>
            </a:ext>
          </a:extLst>
        </xdr:cNvPr>
        <xdr:cNvSpPr/>
      </xdr:nvSpPr>
      <xdr:spPr>
        <a:xfrm>
          <a:off x="14535150" y="11501437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xdr:from>
      <xdr:col>12</xdr:col>
      <xdr:colOff>66675</xdr:colOff>
      <xdr:row>565</xdr:row>
      <xdr:rowOff>152400</xdr:rowOff>
    </xdr:from>
    <xdr:to>
      <xdr:col>15</xdr:col>
      <xdr:colOff>85725</xdr:colOff>
      <xdr:row>565</xdr:row>
      <xdr:rowOff>152400</xdr:rowOff>
    </xdr:to>
    <xdr:cxnSp macro="">
      <xdr:nvCxnSpPr>
        <xdr:cNvPr id="195" name="DOTTED_LINE">
          <a:extLst>
            <a:ext uri="{FF2B5EF4-FFF2-40B4-BE49-F238E27FC236}">
              <a16:creationId xmlns:a16="http://schemas.microsoft.com/office/drawing/2014/main" id="{00000000-0008-0000-0100-0000C3000000}"/>
            </a:ext>
          </a:extLst>
        </xdr:cNvPr>
        <xdr:cNvCxnSpPr/>
      </xdr:nvCxnSpPr>
      <xdr:spPr>
        <a:xfrm>
          <a:off x="2019300" y="127958850"/>
          <a:ext cx="16287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76200</xdr:colOff>
      <xdr:row>568</xdr:row>
      <xdr:rowOff>152400</xdr:rowOff>
    </xdr:from>
    <xdr:to>
      <xdr:col>21</xdr:col>
      <xdr:colOff>85730</xdr:colOff>
      <xdr:row>568</xdr:row>
      <xdr:rowOff>162347</xdr:rowOff>
    </xdr:to>
    <xdr:cxnSp macro="">
      <xdr:nvCxnSpPr>
        <xdr:cNvPr id="200" name="DOTTED_LINE">
          <a:extLst>
            <a:ext uri="{FF2B5EF4-FFF2-40B4-BE49-F238E27FC236}">
              <a16:creationId xmlns:a16="http://schemas.microsoft.com/office/drawing/2014/main" id="{00000000-0008-0000-0100-0000C8000000}"/>
            </a:ext>
          </a:extLst>
        </xdr:cNvPr>
        <xdr:cNvCxnSpPr/>
      </xdr:nvCxnSpPr>
      <xdr:spPr>
        <a:xfrm flipH="1">
          <a:off x="2743200" y="128787525"/>
          <a:ext cx="3590930" cy="9947"/>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57150</xdr:colOff>
      <xdr:row>598</xdr:row>
      <xdr:rowOff>152400</xdr:rowOff>
    </xdr:from>
    <xdr:to>
      <xdr:col>13</xdr:col>
      <xdr:colOff>133350</xdr:colOff>
      <xdr:row>598</xdr:row>
      <xdr:rowOff>152400</xdr:rowOff>
    </xdr:to>
    <xdr:cxnSp macro="">
      <xdr:nvCxnSpPr>
        <xdr:cNvPr id="243" name="DOTTED_LINE">
          <a:extLst>
            <a:ext uri="{FF2B5EF4-FFF2-40B4-BE49-F238E27FC236}">
              <a16:creationId xmlns:a16="http://schemas.microsoft.com/office/drawing/2014/main" id="{00000000-0008-0000-0100-0000F3000000}"/>
            </a:ext>
          </a:extLst>
        </xdr:cNvPr>
        <xdr:cNvCxnSpPr/>
      </xdr:nvCxnSpPr>
      <xdr:spPr>
        <a:xfrm>
          <a:off x="9953625" y="128168400"/>
          <a:ext cx="9715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21</xdr:col>
      <xdr:colOff>161925</xdr:colOff>
      <xdr:row>602</xdr:row>
      <xdr:rowOff>257175</xdr:rowOff>
    </xdr:from>
    <xdr:to>
      <xdr:col>24</xdr:col>
      <xdr:colOff>114300</xdr:colOff>
      <xdr:row>604</xdr:row>
      <xdr:rowOff>9525</xdr:rowOff>
    </xdr:to>
    <xdr:sp macro="" textlink="">
      <xdr:nvSpPr>
        <xdr:cNvPr id="258" name="LINK_RENTAL_TOC">
          <a:hlinkClick xmlns:r="http://schemas.openxmlformats.org/officeDocument/2006/relationships" r:id="rId16"/>
          <a:extLst>
            <a:ext uri="{FF2B5EF4-FFF2-40B4-BE49-F238E27FC236}">
              <a16:creationId xmlns:a16="http://schemas.microsoft.com/office/drawing/2014/main" id="{00000000-0008-0000-0100-000002010000}"/>
            </a:ext>
          </a:extLst>
        </xdr:cNvPr>
        <xdr:cNvSpPr/>
      </xdr:nvSpPr>
      <xdr:spPr>
        <a:xfrm>
          <a:off x="14535150" y="11611927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xdr:from>
      <xdr:col>13</xdr:col>
      <xdr:colOff>0</xdr:colOff>
      <xdr:row>611</xdr:row>
      <xdr:rowOff>142875</xdr:rowOff>
    </xdr:from>
    <xdr:to>
      <xdr:col>21</xdr:col>
      <xdr:colOff>104775</xdr:colOff>
      <xdr:row>611</xdr:row>
      <xdr:rowOff>142875</xdr:rowOff>
    </xdr:to>
    <xdr:cxnSp macro="">
      <xdr:nvCxnSpPr>
        <xdr:cNvPr id="269" name="DOTTED_LINE">
          <a:extLst>
            <a:ext uri="{FF2B5EF4-FFF2-40B4-BE49-F238E27FC236}">
              <a16:creationId xmlns:a16="http://schemas.microsoft.com/office/drawing/2014/main" id="{00000000-0008-0000-0100-00000D010000}"/>
            </a:ext>
          </a:extLst>
        </xdr:cNvPr>
        <xdr:cNvCxnSpPr/>
      </xdr:nvCxnSpPr>
      <xdr:spPr>
        <a:xfrm>
          <a:off x="10791825" y="135064500"/>
          <a:ext cx="36861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314325</xdr:colOff>
      <xdr:row>15</xdr:row>
      <xdr:rowOff>21551</xdr:rowOff>
    </xdr:from>
    <xdr:ext cx="2181225" cy="240509"/>
    <xdr:sp macro="" textlink="$AC$16">
      <xdr:nvSpPr>
        <xdr:cNvPr id="274" name="TOC_SECTION_LINK">
          <a:hlinkClick xmlns:r="http://schemas.openxmlformats.org/officeDocument/2006/relationships" r:id="rId19"/>
          <a:extLst>
            <a:ext uri="{FF2B5EF4-FFF2-40B4-BE49-F238E27FC236}">
              <a16:creationId xmlns:a16="http://schemas.microsoft.com/office/drawing/2014/main" id="{00000000-0008-0000-0100-000012010000}"/>
            </a:ext>
          </a:extLst>
        </xdr:cNvPr>
        <xdr:cNvSpPr txBox="1"/>
      </xdr:nvSpPr>
      <xdr:spPr>
        <a:xfrm>
          <a:off x="12182475" y="3250526"/>
          <a:ext cx="2181225" cy="24050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667EC9DD-B51E-4A1B-B27B-3ACCE3392ACE}" type="TxLink">
            <a:rPr lang="en-US" sz="900" b="1" i="0" u="sng" strike="noStrike">
              <a:solidFill>
                <a:srgbClr val="366092"/>
              </a:solidFill>
              <a:latin typeface="Arial"/>
              <a:cs typeface="Arial"/>
            </a:rPr>
            <a:pPr algn="l"/>
            <a:t>Homeless Housing</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twoCellAnchor>
    <xdr:from>
      <xdr:col>7</xdr:col>
      <xdr:colOff>66675</xdr:colOff>
      <xdr:row>657</xdr:row>
      <xdr:rowOff>238125</xdr:rowOff>
    </xdr:from>
    <xdr:to>
      <xdr:col>24</xdr:col>
      <xdr:colOff>114300</xdr:colOff>
      <xdr:row>703</xdr:row>
      <xdr:rowOff>47625</xdr:rowOff>
    </xdr:to>
    <xdr:grpSp>
      <xdr:nvGrpSpPr>
        <xdr:cNvPr id="4" name="Group 3">
          <a:extLst>
            <a:ext uri="{FF2B5EF4-FFF2-40B4-BE49-F238E27FC236}">
              <a16:creationId xmlns:a16="http://schemas.microsoft.com/office/drawing/2014/main" id="{00000000-0008-0000-0100-000004000000}"/>
            </a:ext>
          </a:extLst>
        </xdr:cNvPr>
        <xdr:cNvGrpSpPr/>
      </xdr:nvGrpSpPr>
      <xdr:grpSpPr>
        <a:xfrm>
          <a:off x="66675" y="202901550"/>
          <a:ext cx="7372350" cy="12515850"/>
          <a:chOff x="8191500" y="193786125"/>
          <a:chExt cx="7372350" cy="12515850"/>
        </a:xfrm>
      </xdr:grpSpPr>
      <xdr:grpSp>
        <xdr:nvGrpSpPr>
          <xdr:cNvPr id="277" name="SECTION_GROUP">
            <a:extLst>
              <a:ext uri="{FF2B5EF4-FFF2-40B4-BE49-F238E27FC236}">
                <a16:creationId xmlns:a16="http://schemas.microsoft.com/office/drawing/2014/main" id="{00000000-0008-0000-0100-000015010000}"/>
              </a:ext>
            </a:extLst>
          </xdr:cNvPr>
          <xdr:cNvGrpSpPr/>
        </xdr:nvGrpSpPr>
        <xdr:grpSpPr>
          <a:xfrm>
            <a:off x="8191500" y="193786125"/>
            <a:ext cx="7362824" cy="12515850"/>
            <a:chOff x="9363075" y="17306808"/>
            <a:chExt cx="7362825" cy="13472364"/>
          </a:xfrm>
        </xdr:grpSpPr>
        <xdr:sp macro="" textlink="$B$408">
          <xdr:nvSpPr>
            <xdr:cNvPr id="282" name="SECTION_GROUP_TITLE">
              <a:extLst>
                <a:ext uri="{FF2B5EF4-FFF2-40B4-BE49-F238E27FC236}">
                  <a16:creationId xmlns:a16="http://schemas.microsoft.com/office/drawing/2014/main" id="{00000000-0008-0000-0100-00001A010000}"/>
                </a:ext>
              </a:extLst>
            </xdr:cNvPr>
            <xdr:cNvSpPr/>
          </xdr:nvSpPr>
          <xdr:spPr>
            <a:xfrm>
              <a:off x="9363075" y="17306808"/>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C0E1800C-500D-4660-BF61-112796D40DB1}" type="TxLink">
                <a:rPr lang="en-US" sz="1000" b="1" i="0" u="none" strike="noStrike">
                  <a:solidFill>
                    <a:srgbClr val="FFFFFF"/>
                  </a:solidFill>
                  <a:latin typeface="Arial" pitchFamily="34" charset="0"/>
                  <a:cs typeface="Arial" pitchFamily="34" charset="0"/>
                </a:rPr>
                <a:pPr algn="l"/>
                <a:t>Promotion of Empowerment (Maximum Points: 5)</a:t>
              </a:fld>
              <a:endParaRPr lang="en-US" sz="1000" b="1" i="0" u="none" strike="noStrike">
                <a:solidFill>
                  <a:schemeClr val="bg1"/>
                </a:solidFill>
                <a:latin typeface="Arial" pitchFamily="34" charset="0"/>
                <a:cs typeface="Arial" pitchFamily="34" charset="0"/>
              </a:endParaRPr>
            </a:p>
          </xdr:txBody>
        </xdr:sp>
        <xdr:sp macro="" textlink="">
          <xdr:nvSpPr>
            <xdr:cNvPr id="278" name="SECTION_GROUP_FRAME">
              <a:extLst>
                <a:ext uri="{FF2B5EF4-FFF2-40B4-BE49-F238E27FC236}">
                  <a16:creationId xmlns:a16="http://schemas.microsoft.com/office/drawing/2014/main" id="{00000000-0008-0000-0100-000016010000}"/>
                </a:ext>
              </a:extLst>
            </xdr:cNvPr>
            <xdr:cNvSpPr/>
          </xdr:nvSpPr>
          <xdr:spPr>
            <a:xfrm>
              <a:off x="9363075" y="17641464"/>
              <a:ext cx="7362825" cy="13137708"/>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420">
          <xdr:nvSpPr>
            <xdr:cNvPr id="283" name="SECTION_GROUP_SUBTITLE">
              <a:extLst>
                <a:ext uri="{FF2B5EF4-FFF2-40B4-BE49-F238E27FC236}">
                  <a16:creationId xmlns:a16="http://schemas.microsoft.com/office/drawing/2014/main" id="{00000000-0008-0000-0100-00001B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1FBCD3D7-582F-434E-8039-36FC02CD3E3F}" type="TxLink">
                <a:rPr lang="en-US" sz="800" b="0" i="0" u="none" strike="noStrike">
                  <a:solidFill>
                    <a:srgbClr val="000000"/>
                  </a:solidFill>
                  <a:latin typeface="Arial" pitchFamily="34" charset="0"/>
                  <a:cs typeface="Arial" pitchFamily="34" charset="0"/>
                </a:rPr>
                <a:pPr algn="r"/>
                <a:t>Not Started</a:t>
              </a:fld>
              <a:endParaRPr lang="en-US" sz="1050" b="0" i="0">
                <a:latin typeface="Arial" pitchFamily="34" charset="0"/>
                <a:cs typeface="Arial" pitchFamily="34" charset="0"/>
              </a:endParaRPr>
            </a:p>
          </xdr:txBody>
        </xdr:sp>
        <xdr:sp macro="" textlink="">
          <xdr:nvSpPr>
            <xdr:cNvPr id="284" name="SECTION_GROUP_SUBTITLE_LABEL">
              <a:extLst>
                <a:ext uri="{FF2B5EF4-FFF2-40B4-BE49-F238E27FC236}">
                  <a16:creationId xmlns:a16="http://schemas.microsoft.com/office/drawing/2014/main" id="{00000000-0008-0000-0100-00001C010000}"/>
                </a:ext>
              </a:extLst>
            </xdr:cNvPr>
            <xdr:cNvSpPr txBox="1"/>
          </xdr:nvSpPr>
          <xdr:spPr>
            <a:xfrm>
              <a:off x="15649576"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sp macro="" textlink="">
        <xdr:nvSpPr>
          <xdr:cNvPr id="276" name="LINK_RENTAL_TOC">
            <a:hlinkClick xmlns:r="http://schemas.openxmlformats.org/officeDocument/2006/relationships" r:id="rId16"/>
            <a:extLst>
              <a:ext uri="{FF2B5EF4-FFF2-40B4-BE49-F238E27FC236}">
                <a16:creationId xmlns:a16="http://schemas.microsoft.com/office/drawing/2014/main" id="{00000000-0008-0000-0100-000014010000}"/>
              </a:ext>
            </a:extLst>
          </xdr:cNvPr>
          <xdr:cNvSpPr/>
        </xdr:nvSpPr>
        <xdr:spPr>
          <a:xfrm>
            <a:off x="14535150" y="19379565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grpSp>
    <xdr:clientData fPrintsWithSheet="0"/>
  </xdr:twoCellAnchor>
  <xdr:twoCellAnchor>
    <xdr:from>
      <xdr:col>11</xdr:col>
      <xdr:colOff>66675</xdr:colOff>
      <xdr:row>683</xdr:row>
      <xdr:rowOff>152400</xdr:rowOff>
    </xdr:from>
    <xdr:to>
      <xdr:col>21</xdr:col>
      <xdr:colOff>85730</xdr:colOff>
      <xdr:row>683</xdr:row>
      <xdr:rowOff>152400</xdr:rowOff>
    </xdr:to>
    <xdr:cxnSp macro="">
      <xdr:nvCxnSpPr>
        <xdr:cNvPr id="285" name="DOTTED_LINE">
          <a:extLst>
            <a:ext uri="{FF2B5EF4-FFF2-40B4-BE49-F238E27FC236}">
              <a16:creationId xmlns:a16="http://schemas.microsoft.com/office/drawing/2014/main" id="{00000000-0008-0000-0100-00001D010000}"/>
            </a:ext>
          </a:extLst>
        </xdr:cNvPr>
        <xdr:cNvCxnSpPr/>
      </xdr:nvCxnSpPr>
      <xdr:spPr>
        <a:xfrm flipH="1">
          <a:off x="9963150" y="193976625"/>
          <a:ext cx="449580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152400</xdr:colOff>
      <xdr:row>687</xdr:row>
      <xdr:rowOff>152400</xdr:rowOff>
    </xdr:from>
    <xdr:to>
      <xdr:col>21</xdr:col>
      <xdr:colOff>85730</xdr:colOff>
      <xdr:row>687</xdr:row>
      <xdr:rowOff>152400</xdr:rowOff>
    </xdr:to>
    <xdr:cxnSp macro="">
      <xdr:nvCxnSpPr>
        <xdr:cNvPr id="292" name="DOTTED_LINE">
          <a:extLst>
            <a:ext uri="{FF2B5EF4-FFF2-40B4-BE49-F238E27FC236}">
              <a16:creationId xmlns:a16="http://schemas.microsoft.com/office/drawing/2014/main" id="{00000000-0008-0000-0100-000024010000}"/>
            </a:ext>
          </a:extLst>
        </xdr:cNvPr>
        <xdr:cNvCxnSpPr/>
      </xdr:nvCxnSpPr>
      <xdr:spPr>
        <a:xfrm flipH="1">
          <a:off x="13630275" y="195081525"/>
          <a:ext cx="82868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247650</xdr:colOff>
      <xdr:row>691</xdr:row>
      <xdr:rowOff>152400</xdr:rowOff>
    </xdr:from>
    <xdr:to>
      <xdr:col>21</xdr:col>
      <xdr:colOff>85732</xdr:colOff>
      <xdr:row>691</xdr:row>
      <xdr:rowOff>152400</xdr:rowOff>
    </xdr:to>
    <xdr:cxnSp macro="">
      <xdr:nvCxnSpPr>
        <xdr:cNvPr id="294" name="DOTTED_LINE">
          <a:extLst>
            <a:ext uri="{FF2B5EF4-FFF2-40B4-BE49-F238E27FC236}">
              <a16:creationId xmlns:a16="http://schemas.microsoft.com/office/drawing/2014/main" id="{00000000-0008-0000-0100-000026010000}"/>
            </a:ext>
          </a:extLst>
        </xdr:cNvPr>
        <xdr:cNvCxnSpPr/>
      </xdr:nvCxnSpPr>
      <xdr:spPr>
        <a:xfrm flipH="1">
          <a:off x="3095625" y="160000950"/>
          <a:ext cx="3238507"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57150</xdr:colOff>
      <xdr:row>695</xdr:row>
      <xdr:rowOff>152400</xdr:rowOff>
    </xdr:from>
    <xdr:to>
      <xdr:col>21</xdr:col>
      <xdr:colOff>85732</xdr:colOff>
      <xdr:row>695</xdr:row>
      <xdr:rowOff>152400</xdr:rowOff>
    </xdr:to>
    <xdr:cxnSp macro="">
      <xdr:nvCxnSpPr>
        <xdr:cNvPr id="297" name="DOTTED_LINE">
          <a:extLst>
            <a:ext uri="{FF2B5EF4-FFF2-40B4-BE49-F238E27FC236}">
              <a16:creationId xmlns:a16="http://schemas.microsoft.com/office/drawing/2014/main" id="{00000000-0008-0000-0100-000029010000}"/>
            </a:ext>
          </a:extLst>
        </xdr:cNvPr>
        <xdr:cNvCxnSpPr/>
      </xdr:nvCxnSpPr>
      <xdr:spPr>
        <a:xfrm flipH="1">
          <a:off x="3800475" y="161105850"/>
          <a:ext cx="2533657"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38100</xdr:colOff>
      <xdr:row>700</xdr:row>
      <xdr:rowOff>152400</xdr:rowOff>
    </xdr:from>
    <xdr:to>
      <xdr:col>21</xdr:col>
      <xdr:colOff>85732</xdr:colOff>
      <xdr:row>700</xdr:row>
      <xdr:rowOff>152400</xdr:rowOff>
    </xdr:to>
    <xdr:cxnSp macro="">
      <xdr:nvCxnSpPr>
        <xdr:cNvPr id="300" name="DOTTED_LINE">
          <a:extLst>
            <a:ext uri="{FF2B5EF4-FFF2-40B4-BE49-F238E27FC236}">
              <a16:creationId xmlns:a16="http://schemas.microsoft.com/office/drawing/2014/main" id="{00000000-0008-0000-0100-00002C010000}"/>
            </a:ext>
          </a:extLst>
        </xdr:cNvPr>
        <xdr:cNvCxnSpPr/>
      </xdr:nvCxnSpPr>
      <xdr:spPr>
        <a:xfrm flipH="1">
          <a:off x="3781425" y="162486975"/>
          <a:ext cx="2552707"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314325</xdr:colOff>
      <xdr:row>16</xdr:row>
      <xdr:rowOff>9525</xdr:rowOff>
    </xdr:from>
    <xdr:ext cx="2181225" cy="264560"/>
    <xdr:sp macro="" textlink="$AC$17">
      <xdr:nvSpPr>
        <xdr:cNvPr id="303" name="TOC_SECTION_LINK">
          <a:hlinkClick xmlns:r="http://schemas.openxmlformats.org/officeDocument/2006/relationships" r:id="rId20"/>
          <a:extLst>
            <a:ext uri="{FF2B5EF4-FFF2-40B4-BE49-F238E27FC236}">
              <a16:creationId xmlns:a16="http://schemas.microsoft.com/office/drawing/2014/main" id="{00000000-0008-0000-0100-00002F010000}"/>
            </a:ext>
          </a:extLst>
        </xdr:cNvPr>
        <xdr:cNvSpPr txBox="1"/>
      </xdr:nvSpPr>
      <xdr:spPr>
        <a:xfrm>
          <a:off x="12182475" y="3171825"/>
          <a:ext cx="2181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73ADE10D-ED5B-4B85-846B-34915A255373}" type="TxLink">
            <a:rPr lang="en-US" sz="900" b="1" i="0" u="sng" strike="noStrike">
              <a:solidFill>
                <a:srgbClr val="366092"/>
              </a:solidFill>
              <a:latin typeface="Arial"/>
              <a:cs typeface="Arial"/>
            </a:rPr>
            <a:pPr algn="l"/>
            <a:t>Special Needs</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twoCellAnchor editAs="oneCell">
    <xdr:from>
      <xdr:col>21</xdr:col>
      <xdr:colOff>161925</xdr:colOff>
      <xdr:row>627</xdr:row>
      <xdr:rowOff>0</xdr:rowOff>
    </xdr:from>
    <xdr:to>
      <xdr:col>24</xdr:col>
      <xdr:colOff>114300</xdr:colOff>
      <xdr:row>628</xdr:row>
      <xdr:rowOff>28576</xdr:rowOff>
    </xdr:to>
    <xdr:sp macro="" textlink="">
      <xdr:nvSpPr>
        <xdr:cNvPr id="223" name="LINK_RENTAL_TOC">
          <a:hlinkClick xmlns:r="http://schemas.openxmlformats.org/officeDocument/2006/relationships" r:id="rId16"/>
          <a:extLst>
            <a:ext uri="{FF2B5EF4-FFF2-40B4-BE49-F238E27FC236}">
              <a16:creationId xmlns:a16="http://schemas.microsoft.com/office/drawing/2014/main" id="{00000000-0008-0000-0100-0000DF000000}"/>
            </a:ext>
          </a:extLst>
        </xdr:cNvPr>
        <xdr:cNvSpPr/>
      </xdr:nvSpPr>
      <xdr:spPr>
        <a:xfrm>
          <a:off x="14535150" y="13820775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21</xdr:col>
      <xdr:colOff>161925</xdr:colOff>
      <xdr:row>648</xdr:row>
      <xdr:rowOff>257175</xdr:rowOff>
    </xdr:from>
    <xdr:to>
      <xdr:col>24</xdr:col>
      <xdr:colOff>114300</xdr:colOff>
      <xdr:row>650</xdr:row>
      <xdr:rowOff>9525</xdr:rowOff>
    </xdr:to>
    <xdr:sp macro="" textlink="">
      <xdr:nvSpPr>
        <xdr:cNvPr id="230" name="LINK_RENTAL_TOC">
          <a:hlinkClick xmlns:r="http://schemas.openxmlformats.org/officeDocument/2006/relationships" r:id="rId16"/>
          <a:extLst>
            <a:ext uri="{FF2B5EF4-FFF2-40B4-BE49-F238E27FC236}">
              <a16:creationId xmlns:a16="http://schemas.microsoft.com/office/drawing/2014/main" id="{00000000-0008-0000-0100-0000E6000000}"/>
            </a:ext>
          </a:extLst>
        </xdr:cNvPr>
        <xdr:cNvSpPr/>
      </xdr:nvSpPr>
      <xdr:spPr>
        <a:xfrm>
          <a:off x="14535150" y="21369337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21</xdr:col>
      <xdr:colOff>161925</xdr:colOff>
      <xdr:row>849</xdr:row>
      <xdr:rowOff>0</xdr:rowOff>
    </xdr:from>
    <xdr:to>
      <xdr:col>24</xdr:col>
      <xdr:colOff>114300</xdr:colOff>
      <xdr:row>850</xdr:row>
      <xdr:rowOff>29906</xdr:rowOff>
    </xdr:to>
    <xdr:sp macro="" textlink="">
      <xdr:nvSpPr>
        <xdr:cNvPr id="291" name="LINK_RENTAL_TOC">
          <a:hlinkClick xmlns:r="http://schemas.openxmlformats.org/officeDocument/2006/relationships" r:id="rId16"/>
          <a:extLst>
            <a:ext uri="{FF2B5EF4-FFF2-40B4-BE49-F238E27FC236}">
              <a16:creationId xmlns:a16="http://schemas.microsoft.com/office/drawing/2014/main" id="{00000000-0008-0000-0100-000023010000}"/>
            </a:ext>
          </a:extLst>
        </xdr:cNvPr>
        <xdr:cNvSpPr/>
      </xdr:nvSpPr>
      <xdr:spPr>
        <a:xfrm>
          <a:off x="14535150" y="15781972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xdr:from>
      <xdr:col>20</xdr:col>
      <xdr:colOff>695325</xdr:colOff>
      <xdr:row>869</xdr:row>
      <xdr:rowOff>190500</xdr:rowOff>
    </xdr:from>
    <xdr:to>
      <xdr:col>21</xdr:col>
      <xdr:colOff>133350</xdr:colOff>
      <xdr:row>869</xdr:row>
      <xdr:rowOff>190500</xdr:rowOff>
    </xdr:to>
    <xdr:cxnSp macro="">
      <xdr:nvCxnSpPr>
        <xdr:cNvPr id="333" name="DOTTED_LINE">
          <a:extLst>
            <a:ext uri="{FF2B5EF4-FFF2-40B4-BE49-F238E27FC236}">
              <a16:creationId xmlns:a16="http://schemas.microsoft.com/office/drawing/2014/main" id="{00000000-0008-0000-0100-00004D010000}"/>
            </a:ext>
          </a:extLst>
        </xdr:cNvPr>
        <xdr:cNvCxnSpPr/>
      </xdr:nvCxnSpPr>
      <xdr:spPr>
        <a:xfrm flipH="1">
          <a:off x="6229350" y="175231425"/>
          <a:ext cx="1524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57150</xdr:colOff>
      <xdr:row>871</xdr:row>
      <xdr:rowOff>76200</xdr:rowOff>
    </xdr:from>
    <xdr:to>
      <xdr:col>8</xdr:col>
      <xdr:colOff>148590</xdr:colOff>
      <xdr:row>871</xdr:row>
      <xdr:rowOff>167640</xdr:rowOff>
    </xdr:to>
    <xdr:sp macro="" textlink="">
      <xdr:nvSpPr>
        <xdr:cNvPr id="335" name="RT_ARROW_2">
          <a:extLst>
            <a:ext uri="{FF2B5EF4-FFF2-40B4-BE49-F238E27FC236}">
              <a16:creationId xmlns:a16="http://schemas.microsoft.com/office/drawing/2014/main" id="{00000000-0008-0000-0100-00004F010000}"/>
            </a:ext>
          </a:extLst>
        </xdr:cNvPr>
        <xdr:cNvSpPr/>
      </xdr:nvSpPr>
      <xdr:spPr>
        <a:xfrm>
          <a:off x="219075" y="175669575"/>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15</xdr:col>
      <xdr:colOff>152400</xdr:colOff>
      <xdr:row>877</xdr:row>
      <xdr:rowOff>142875</xdr:rowOff>
    </xdr:from>
    <xdr:to>
      <xdr:col>21</xdr:col>
      <xdr:colOff>104776</xdr:colOff>
      <xdr:row>877</xdr:row>
      <xdr:rowOff>142875</xdr:rowOff>
    </xdr:to>
    <xdr:cxnSp macro="">
      <xdr:nvCxnSpPr>
        <xdr:cNvPr id="345" name="DOTTED_LINE">
          <a:extLst>
            <a:ext uri="{FF2B5EF4-FFF2-40B4-BE49-F238E27FC236}">
              <a16:creationId xmlns:a16="http://schemas.microsoft.com/office/drawing/2014/main" id="{00000000-0008-0000-0100-000059010000}"/>
            </a:ext>
          </a:extLst>
        </xdr:cNvPr>
        <xdr:cNvCxnSpPr/>
      </xdr:nvCxnSpPr>
      <xdr:spPr>
        <a:xfrm flipH="1">
          <a:off x="3714750" y="177117375"/>
          <a:ext cx="2638426"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57150</xdr:colOff>
      <xdr:row>878</xdr:row>
      <xdr:rowOff>95250</xdr:rowOff>
    </xdr:from>
    <xdr:to>
      <xdr:col>8</xdr:col>
      <xdr:colOff>148590</xdr:colOff>
      <xdr:row>878</xdr:row>
      <xdr:rowOff>186690</xdr:rowOff>
    </xdr:to>
    <xdr:sp macro="" textlink="">
      <xdr:nvSpPr>
        <xdr:cNvPr id="356" name="RT_ARROW_2">
          <a:extLst>
            <a:ext uri="{FF2B5EF4-FFF2-40B4-BE49-F238E27FC236}">
              <a16:creationId xmlns:a16="http://schemas.microsoft.com/office/drawing/2014/main" id="{00000000-0008-0000-0100-000064010000}"/>
            </a:ext>
          </a:extLst>
        </xdr:cNvPr>
        <xdr:cNvSpPr/>
      </xdr:nvSpPr>
      <xdr:spPr>
        <a:xfrm>
          <a:off x="8343900" y="178450875"/>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20</xdr:col>
      <xdr:colOff>628650</xdr:colOff>
      <xdr:row>894</xdr:row>
      <xdr:rowOff>190500</xdr:rowOff>
    </xdr:from>
    <xdr:to>
      <xdr:col>21</xdr:col>
      <xdr:colOff>104775</xdr:colOff>
      <xdr:row>894</xdr:row>
      <xdr:rowOff>190500</xdr:rowOff>
    </xdr:to>
    <xdr:cxnSp macro="">
      <xdr:nvCxnSpPr>
        <xdr:cNvPr id="363" name="DOTTED_LINE">
          <a:extLst>
            <a:ext uri="{FF2B5EF4-FFF2-40B4-BE49-F238E27FC236}">
              <a16:creationId xmlns:a16="http://schemas.microsoft.com/office/drawing/2014/main" id="{00000000-0008-0000-0100-00006B010000}"/>
            </a:ext>
          </a:extLst>
        </xdr:cNvPr>
        <xdr:cNvCxnSpPr/>
      </xdr:nvCxnSpPr>
      <xdr:spPr>
        <a:xfrm flipH="1">
          <a:off x="6162675" y="181584600"/>
          <a:ext cx="1905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57150</xdr:colOff>
      <xdr:row>896</xdr:row>
      <xdr:rowOff>76200</xdr:rowOff>
    </xdr:from>
    <xdr:to>
      <xdr:col>8</xdr:col>
      <xdr:colOff>148590</xdr:colOff>
      <xdr:row>896</xdr:row>
      <xdr:rowOff>167640</xdr:rowOff>
    </xdr:to>
    <xdr:sp macro="" textlink="">
      <xdr:nvSpPr>
        <xdr:cNvPr id="364" name="RT_ARROW_2">
          <a:extLst>
            <a:ext uri="{FF2B5EF4-FFF2-40B4-BE49-F238E27FC236}">
              <a16:creationId xmlns:a16="http://schemas.microsoft.com/office/drawing/2014/main" id="{00000000-0008-0000-0100-00006C010000}"/>
            </a:ext>
          </a:extLst>
        </xdr:cNvPr>
        <xdr:cNvSpPr/>
      </xdr:nvSpPr>
      <xdr:spPr>
        <a:xfrm>
          <a:off x="219075" y="182022750"/>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15</xdr:col>
      <xdr:colOff>123825</xdr:colOff>
      <xdr:row>902</xdr:row>
      <xdr:rowOff>142875</xdr:rowOff>
    </xdr:from>
    <xdr:to>
      <xdr:col>21</xdr:col>
      <xdr:colOff>104776</xdr:colOff>
      <xdr:row>902</xdr:row>
      <xdr:rowOff>142875</xdr:rowOff>
    </xdr:to>
    <xdr:cxnSp macro="">
      <xdr:nvCxnSpPr>
        <xdr:cNvPr id="365" name="DOTTED_LINE">
          <a:extLst>
            <a:ext uri="{FF2B5EF4-FFF2-40B4-BE49-F238E27FC236}">
              <a16:creationId xmlns:a16="http://schemas.microsoft.com/office/drawing/2014/main" id="{00000000-0008-0000-0100-00006D010000}"/>
            </a:ext>
          </a:extLst>
        </xdr:cNvPr>
        <xdr:cNvCxnSpPr/>
      </xdr:nvCxnSpPr>
      <xdr:spPr>
        <a:xfrm flipH="1">
          <a:off x="3686175" y="183470550"/>
          <a:ext cx="2667001"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57150</xdr:colOff>
      <xdr:row>903</xdr:row>
      <xdr:rowOff>95250</xdr:rowOff>
    </xdr:from>
    <xdr:to>
      <xdr:col>8</xdr:col>
      <xdr:colOff>148590</xdr:colOff>
      <xdr:row>903</xdr:row>
      <xdr:rowOff>186690</xdr:rowOff>
    </xdr:to>
    <xdr:sp macro="" textlink="">
      <xdr:nvSpPr>
        <xdr:cNvPr id="366" name="RT_ARROW_2">
          <a:extLst>
            <a:ext uri="{FF2B5EF4-FFF2-40B4-BE49-F238E27FC236}">
              <a16:creationId xmlns:a16="http://schemas.microsoft.com/office/drawing/2014/main" id="{00000000-0008-0000-0100-00006E010000}"/>
            </a:ext>
          </a:extLst>
        </xdr:cNvPr>
        <xdr:cNvSpPr/>
      </xdr:nvSpPr>
      <xdr:spPr>
        <a:xfrm>
          <a:off x="8343900" y="184804050"/>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18</xdr:col>
      <xdr:colOff>304800</xdr:colOff>
      <xdr:row>911</xdr:row>
      <xdr:rowOff>142875</xdr:rowOff>
    </xdr:from>
    <xdr:to>
      <xdr:col>21</xdr:col>
      <xdr:colOff>123825</xdr:colOff>
      <xdr:row>911</xdr:row>
      <xdr:rowOff>142875</xdr:rowOff>
    </xdr:to>
    <xdr:cxnSp macro="">
      <xdr:nvCxnSpPr>
        <xdr:cNvPr id="422" name="DOTTED_LINE">
          <a:extLst>
            <a:ext uri="{FF2B5EF4-FFF2-40B4-BE49-F238E27FC236}">
              <a16:creationId xmlns:a16="http://schemas.microsoft.com/office/drawing/2014/main" id="{00000000-0008-0000-0100-0000A6010000}"/>
            </a:ext>
          </a:extLst>
        </xdr:cNvPr>
        <xdr:cNvCxnSpPr/>
      </xdr:nvCxnSpPr>
      <xdr:spPr>
        <a:xfrm>
          <a:off x="13068300" y="189547500"/>
          <a:ext cx="14287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257175</xdr:colOff>
      <xdr:row>913</xdr:row>
      <xdr:rowOff>133350</xdr:rowOff>
    </xdr:from>
    <xdr:to>
      <xdr:col>19</xdr:col>
      <xdr:colOff>111198</xdr:colOff>
      <xdr:row>913</xdr:row>
      <xdr:rowOff>133350</xdr:rowOff>
    </xdr:to>
    <xdr:cxnSp macro="">
      <xdr:nvCxnSpPr>
        <xdr:cNvPr id="425" name="DOTTED_LINE">
          <a:extLst>
            <a:ext uri="{FF2B5EF4-FFF2-40B4-BE49-F238E27FC236}">
              <a16:creationId xmlns:a16="http://schemas.microsoft.com/office/drawing/2014/main" id="{00000000-0008-0000-0100-0000A9010000}"/>
            </a:ext>
          </a:extLst>
        </xdr:cNvPr>
        <xdr:cNvCxnSpPr/>
      </xdr:nvCxnSpPr>
      <xdr:spPr>
        <a:xfrm>
          <a:off x="13020675" y="190090425"/>
          <a:ext cx="568398"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495300</xdr:colOff>
      <xdr:row>916</xdr:row>
      <xdr:rowOff>142875</xdr:rowOff>
    </xdr:from>
    <xdr:to>
      <xdr:col>21</xdr:col>
      <xdr:colOff>123825</xdr:colOff>
      <xdr:row>916</xdr:row>
      <xdr:rowOff>142875</xdr:rowOff>
    </xdr:to>
    <xdr:cxnSp macro="">
      <xdr:nvCxnSpPr>
        <xdr:cNvPr id="428" name="DOTTED_LINE">
          <a:extLst>
            <a:ext uri="{FF2B5EF4-FFF2-40B4-BE49-F238E27FC236}">
              <a16:creationId xmlns:a16="http://schemas.microsoft.com/office/drawing/2014/main" id="{00000000-0008-0000-0100-0000AC010000}"/>
            </a:ext>
          </a:extLst>
        </xdr:cNvPr>
        <xdr:cNvCxnSpPr/>
      </xdr:nvCxnSpPr>
      <xdr:spPr>
        <a:xfrm>
          <a:off x="12363450" y="190928625"/>
          <a:ext cx="21336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400050</xdr:colOff>
      <xdr:row>918</xdr:row>
      <xdr:rowOff>133350</xdr:rowOff>
    </xdr:from>
    <xdr:to>
      <xdr:col>19</xdr:col>
      <xdr:colOff>110290</xdr:colOff>
      <xdr:row>918</xdr:row>
      <xdr:rowOff>133350</xdr:rowOff>
    </xdr:to>
    <xdr:cxnSp macro="">
      <xdr:nvCxnSpPr>
        <xdr:cNvPr id="429" name="DOTTED_LINE">
          <a:extLst>
            <a:ext uri="{FF2B5EF4-FFF2-40B4-BE49-F238E27FC236}">
              <a16:creationId xmlns:a16="http://schemas.microsoft.com/office/drawing/2014/main" id="{00000000-0008-0000-0100-0000AD010000}"/>
            </a:ext>
          </a:extLst>
        </xdr:cNvPr>
        <xdr:cNvCxnSpPr/>
      </xdr:nvCxnSpPr>
      <xdr:spPr>
        <a:xfrm>
          <a:off x="13163550" y="191471550"/>
          <a:ext cx="42461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666750</xdr:colOff>
      <xdr:row>582</xdr:row>
      <xdr:rowOff>142875</xdr:rowOff>
    </xdr:from>
    <xdr:to>
      <xdr:col>21</xdr:col>
      <xdr:colOff>85725</xdr:colOff>
      <xdr:row>582</xdr:row>
      <xdr:rowOff>142875</xdr:rowOff>
    </xdr:to>
    <xdr:cxnSp macro="">
      <xdr:nvCxnSpPr>
        <xdr:cNvPr id="332" name="DOTTED_LINE">
          <a:extLst>
            <a:ext uri="{FF2B5EF4-FFF2-40B4-BE49-F238E27FC236}">
              <a16:creationId xmlns:a16="http://schemas.microsoft.com/office/drawing/2014/main" id="{00000000-0008-0000-0100-00004C010000}"/>
            </a:ext>
          </a:extLst>
        </xdr:cNvPr>
        <xdr:cNvCxnSpPr/>
      </xdr:nvCxnSpPr>
      <xdr:spPr>
        <a:xfrm>
          <a:off x="3514725" y="133197600"/>
          <a:ext cx="28194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148828</xdr:colOff>
      <xdr:row>589</xdr:row>
      <xdr:rowOff>12304</xdr:rowOff>
    </xdr:from>
    <xdr:to>
      <xdr:col>23</xdr:col>
      <xdr:colOff>171449</xdr:colOff>
      <xdr:row>589</xdr:row>
      <xdr:rowOff>60399</xdr:rowOff>
    </xdr:to>
    <xdr:sp macro="" textlink="">
      <xdr:nvSpPr>
        <xdr:cNvPr id="337" name="Line Callout 1 (Accent Bar) 336">
          <a:extLst>
            <a:ext uri="{FF2B5EF4-FFF2-40B4-BE49-F238E27FC236}">
              <a16:creationId xmlns:a16="http://schemas.microsoft.com/office/drawing/2014/main" id="{00000000-0008-0000-0100-000051010000}"/>
            </a:ext>
          </a:extLst>
        </xdr:cNvPr>
        <xdr:cNvSpPr/>
      </xdr:nvSpPr>
      <xdr:spPr>
        <a:xfrm rot="5400000">
          <a:off x="11819746" y="123058017"/>
          <a:ext cx="48095" cy="7166371"/>
        </a:xfrm>
        <a:prstGeom prst="accentCallout1">
          <a:avLst>
            <a:gd name="adj1" fmla="val 25843"/>
            <a:gd name="adj2" fmla="val -19684"/>
            <a:gd name="adj3" fmla="val 25801"/>
            <a:gd name="adj4" fmla="val -1068473"/>
          </a:avLst>
        </a:prstGeom>
        <a:solidFill>
          <a:schemeClr val="accent1">
            <a:lumMod val="40000"/>
            <a:lumOff val="60000"/>
          </a:schemeClr>
        </a:solidFill>
        <a:ln w="38100">
          <a:solidFill>
            <a:schemeClr val="accent1">
              <a:lumMod val="75000"/>
            </a:schemeClr>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7</xdr:col>
      <xdr:colOff>66675</xdr:colOff>
      <xdr:row>703</xdr:row>
      <xdr:rowOff>238125</xdr:rowOff>
    </xdr:from>
    <xdr:to>
      <xdr:col>24</xdr:col>
      <xdr:colOff>114300</xdr:colOff>
      <xdr:row>848</xdr:row>
      <xdr:rowOff>76201</xdr:rowOff>
    </xdr:to>
    <xdr:grpSp>
      <xdr:nvGrpSpPr>
        <xdr:cNvPr id="7" name="Group 6">
          <a:extLst>
            <a:ext uri="{FF2B5EF4-FFF2-40B4-BE49-F238E27FC236}">
              <a16:creationId xmlns:a16="http://schemas.microsoft.com/office/drawing/2014/main" id="{00000000-0008-0000-0100-000007000000}"/>
            </a:ext>
          </a:extLst>
        </xdr:cNvPr>
        <xdr:cNvGrpSpPr/>
      </xdr:nvGrpSpPr>
      <xdr:grpSpPr>
        <a:xfrm>
          <a:off x="66675" y="215607900"/>
          <a:ext cx="7372350" cy="39890701"/>
          <a:chOff x="8191500" y="240753900"/>
          <a:chExt cx="7372350" cy="39890701"/>
        </a:xfrm>
      </xdr:grpSpPr>
      <xdr:grpSp>
        <xdr:nvGrpSpPr>
          <xdr:cNvPr id="320" name="SECTION_GROUP">
            <a:extLst>
              <a:ext uri="{FF2B5EF4-FFF2-40B4-BE49-F238E27FC236}">
                <a16:creationId xmlns:a16="http://schemas.microsoft.com/office/drawing/2014/main" id="{00000000-0008-0000-0100-000040010000}"/>
              </a:ext>
            </a:extLst>
          </xdr:cNvPr>
          <xdr:cNvGrpSpPr/>
        </xdr:nvGrpSpPr>
        <xdr:grpSpPr>
          <a:xfrm>
            <a:off x="8191500" y="240753900"/>
            <a:ext cx="7362824" cy="39890701"/>
            <a:chOff x="9363075" y="17306808"/>
            <a:chExt cx="7362825" cy="42939323"/>
          </a:xfrm>
        </xdr:grpSpPr>
        <xdr:sp macro="" textlink="$B$524">
          <xdr:nvSpPr>
            <xdr:cNvPr id="331" name="SECTION_GROUP_TITLE">
              <a:extLst>
                <a:ext uri="{FF2B5EF4-FFF2-40B4-BE49-F238E27FC236}">
                  <a16:creationId xmlns:a16="http://schemas.microsoft.com/office/drawing/2014/main" id="{00000000-0008-0000-0100-00004B010000}"/>
                </a:ext>
              </a:extLst>
            </xdr:cNvPr>
            <xdr:cNvSpPr/>
          </xdr:nvSpPr>
          <xdr:spPr>
            <a:xfrm>
              <a:off x="9363075" y="17306808"/>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A3638D5B-02AE-41A0-8A4D-A309A88D7B20}" type="TxLink">
                <a:rPr lang="en-US" sz="1000" b="1" i="0" u="none" strike="noStrike">
                  <a:solidFill>
                    <a:srgbClr val="FFFFFF"/>
                  </a:solidFill>
                  <a:latin typeface="Arial" pitchFamily="34" charset="0"/>
                  <a:cs typeface="Arial" pitchFamily="34" charset="0"/>
                </a:rPr>
                <a:pPr algn="l"/>
                <a:t>Community Stability, Including Affordable Housing Preservation (Maximum Points: 14)</a:t>
              </a:fld>
              <a:endParaRPr lang="en-US" sz="1000" b="1" i="0" u="none" strike="noStrike">
                <a:solidFill>
                  <a:schemeClr val="bg1"/>
                </a:solidFill>
                <a:latin typeface="Arial" pitchFamily="34" charset="0"/>
                <a:cs typeface="Arial" pitchFamily="34" charset="0"/>
              </a:endParaRPr>
            </a:p>
          </xdr:txBody>
        </xdr:sp>
        <xdr:sp macro="" textlink="">
          <xdr:nvSpPr>
            <xdr:cNvPr id="334" name="SECTION_GROUP_FRAME">
              <a:extLst>
                <a:ext uri="{FF2B5EF4-FFF2-40B4-BE49-F238E27FC236}">
                  <a16:creationId xmlns:a16="http://schemas.microsoft.com/office/drawing/2014/main" id="{00000000-0008-0000-0100-00004E010000}"/>
                </a:ext>
              </a:extLst>
            </xdr:cNvPr>
            <xdr:cNvSpPr/>
          </xdr:nvSpPr>
          <xdr:spPr>
            <a:xfrm>
              <a:off x="9363075" y="17641462"/>
              <a:ext cx="7362825" cy="42604669"/>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543">
          <xdr:nvSpPr>
            <xdr:cNvPr id="336" name="SECTION_GROUP_SUBTITLE">
              <a:extLst>
                <a:ext uri="{FF2B5EF4-FFF2-40B4-BE49-F238E27FC236}">
                  <a16:creationId xmlns:a16="http://schemas.microsoft.com/office/drawing/2014/main" id="{00000000-0008-0000-0100-000050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41290DAE-1D4A-46FD-B350-48AA6CAFA00B}" type="TxLink">
                <a:rPr lang="en-US" sz="800" b="0" i="0" u="none" strike="noStrike">
                  <a:solidFill>
                    <a:srgbClr val="000000"/>
                  </a:solidFill>
                  <a:latin typeface="Arial" pitchFamily="34" charset="0"/>
                  <a:cs typeface="Arial" pitchFamily="34" charset="0"/>
                </a:rPr>
                <a:pPr algn="r"/>
                <a:t>Not Started</a:t>
              </a:fld>
              <a:endParaRPr lang="en-US" sz="1050" b="0" i="0">
                <a:latin typeface="Arial" pitchFamily="34" charset="0"/>
                <a:cs typeface="Arial" pitchFamily="34" charset="0"/>
              </a:endParaRPr>
            </a:p>
          </xdr:txBody>
        </xdr:sp>
        <xdr:sp macro="" textlink="">
          <xdr:nvSpPr>
            <xdr:cNvPr id="338" name="SECTION_GROUP_SUBTITLE_LABEL">
              <a:extLst>
                <a:ext uri="{FF2B5EF4-FFF2-40B4-BE49-F238E27FC236}">
                  <a16:creationId xmlns:a16="http://schemas.microsoft.com/office/drawing/2014/main" id="{00000000-0008-0000-0100-000052010000}"/>
                </a:ext>
              </a:extLst>
            </xdr:cNvPr>
            <xdr:cNvSpPr txBox="1"/>
          </xdr:nvSpPr>
          <xdr:spPr>
            <a:xfrm>
              <a:off x="15640051"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sp macro="" textlink="">
        <xdr:nvSpPr>
          <xdr:cNvPr id="308" name="LINK_RENTAL_TOC">
            <a:hlinkClick xmlns:r="http://schemas.openxmlformats.org/officeDocument/2006/relationships" r:id="rId16"/>
            <a:extLst>
              <a:ext uri="{FF2B5EF4-FFF2-40B4-BE49-F238E27FC236}">
                <a16:creationId xmlns:a16="http://schemas.microsoft.com/office/drawing/2014/main" id="{00000000-0008-0000-0100-000034010000}"/>
              </a:ext>
            </a:extLst>
          </xdr:cNvPr>
          <xdr:cNvSpPr/>
        </xdr:nvSpPr>
        <xdr:spPr>
          <a:xfrm>
            <a:off x="14535150" y="240753900"/>
            <a:ext cx="1028700" cy="30613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grpSp>
    <xdr:clientData fPrintsWithSheet="0"/>
  </xdr:twoCellAnchor>
  <xdr:twoCellAnchor>
    <xdr:from>
      <xdr:col>17</xdr:col>
      <xdr:colOff>114300</xdr:colOff>
      <xdr:row>751</xdr:row>
      <xdr:rowOff>142875</xdr:rowOff>
    </xdr:from>
    <xdr:to>
      <xdr:col>21</xdr:col>
      <xdr:colOff>123825</xdr:colOff>
      <xdr:row>751</xdr:row>
      <xdr:rowOff>142875</xdr:rowOff>
    </xdr:to>
    <xdr:cxnSp macro="">
      <xdr:nvCxnSpPr>
        <xdr:cNvPr id="339" name="DOTTED_LINE">
          <a:extLst>
            <a:ext uri="{FF2B5EF4-FFF2-40B4-BE49-F238E27FC236}">
              <a16:creationId xmlns:a16="http://schemas.microsoft.com/office/drawing/2014/main" id="{00000000-0008-0000-0100-000053010000}"/>
            </a:ext>
          </a:extLst>
        </xdr:cNvPr>
        <xdr:cNvCxnSpPr/>
      </xdr:nvCxnSpPr>
      <xdr:spPr>
        <a:xfrm>
          <a:off x="12696825" y="186166125"/>
          <a:ext cx="18002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114300</xdr:colOff>
      <xdr:row>767</xdr:row>
      <xdr:rowOff>142875</xdr:rowOff>
    </xdr:from>
    <xdr:to>
      <xdr:col>21</xdr:col>
      <xdr:colOff>123825</xdr:colOff>
      <xdr:row>767</xdr:row>
      <xdr:rowOff>142875</xdr:rowOff>
    </xdr:to>
    <xdr:cxnSp macro="">
      <xdr:nvCxnSpPr>
        <xdr:cNvPr id="340" name="DOTTED_LINE">
          <a:extLst>
            <a:ext uri="{FF2B5EF4-FFF2-40B4-BE49-F238E27FC236}">
              <a16:creationId xmlns:a16="http://schemas.microsoft.com/office/drawing/2014/main" id="{00000000-0008-0000-0100-000054010000}"/>
            </a:ext>
          </a:extLst>
        </xdr:cNvPr>
        <xdr:cNvCxnSpPr/>
      </xdr:nvCxnSpPr>
      <xdr:spPr>
        <a:xfrm>
          <a:off x="12696825" y="203015850"/>
          <a:ext cx="18002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38100</xdr:colOff>
      <xdr:row>263</xdr:row>
      <xdr:rowOff>85725</xdr:rowOff>
    </xdr:from>
    <xdr:to>
      <xdr:col>8</xdr:col>
      <xdr:colOff>129540</xdr:colOff>
      <xdr:row>263</xdr:row>
      <xdr:rowOff>177165</xdr:rowOff>
    </xdr:to>
    <xdr:sp macro="" textlink="">
      <xdr:nvSpPr>
        <xdr:cNvPr id="430" name="RT_ARROW_2">
          <a:extLst>
            <a:ext uri="{FF2B5EF4-FFF2-40B4-BE49-F238E27FC236}">
              <a16:creationId xmlns:a16="http://schemas.microsoft.com/office/drawing/2014/main" id="{00000000-0008-0000-0100-0000AE010000}"/>
            </a:ext>
          </a:extLst>
        </xdr:cNvPr>
        <xdr:cNvSpPr/>
      </xdr:nvSpPr>
      <xdr:spPr>
        <a:xfrm>
          <a:off x="8324850" y="52206525"/>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oneCellAnchor>
    <xdr:from>
      <xdr:col>8</xdr:col>
      <xdr:colOff>219074</xdr:colOff>
      <xdr:row>22</xdr:row>
      <xdr:rowOff>9525</xdr:rowOff>
    </xdr:from>
    <xdr:ext cx="2295525" cy="264560"/>
    <xdr:sp macro="" textlink="$G$239">
      <xdr:nvSpPr>
        <xdr:cNvPr id="362" name="TOC_SECTION_LINK">
          <a:hlinkClick xmlns:r="http://schemas.openxmlformats.org/officeDocument/2006/relationships" r:id="rId21"/>
          <a:extLst>
            <a:ext uri="{FF2B5EF4-FFF2-40B4-BE49-F238E27FC236}">
              <a16:creationId xmlns:a16="http://schemas.microsoft.com/office/drawing/2014/main" id="{00000000-0008-0000-0100-00006A010000}"/>
            </a:ext>
          </a:extLst>
        </xdr:cNvPr>
        <xdr:cNvSpPr txBox="1"/>
      </xdr:nvSpPr>
      <xdr:spPr>
        <a:xfrm>
          <a:off x="9705974" y="5172075"/>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B737160E-8899-4B7B-B5ED-D2872280BEC8}" type="TxLink">
            <a:rPr lang="en-US" sz="900" b="1" i="0" u="sng" strike="noStrike">
              <a:solidFill>
                <a:srgbClr val="376091"/>
              </a:solidFill>
              <a:latin typeface="Arial" pitchFamily="34" charset="0"/>
              <a:cs typeface="Arial" pitchFamily="34" charset="0"/>
            </a:rPr>
            <a:pPr algn="l"/>
            <a:t>Development Partner(s)</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8</xdr:col>
      <xdr:colOff>219074</xdr:colOff>
      <xdr:row>18</xdr:row>
      <xdr:rowOff>9525</xdr:rowOff>
    </xdr:from>
    <xdr:ext cx="2295525" cy="264560"/>
    <xdr:sp macro="" textlink="">
      <xdr:nvSpPr>
        <xdr:cNvPr id="423" name="TOC_SECTION_LINK">
          <a:hlinkClick xmlns:r="http://schemas.openxmlformats.org/officeDocument/2006/relationships" r:id="rId22"/>
          <a:extLst>
            <a:ext uri="{FF2B5EF4-FFF2-40B4-BE49-F238E27FC236}">
              <a16:creationId xmlns:a16="http://schemas.microsoft.com/office/drawing/2014/main" id="{00000000-0008-0000-0100-0000A7010000}"/>
            </a:ext>
          </a:extLst>
        </xdr:cNvPr>
        <xdr:cNvSpPr txBox="1"/>
      </xdr:nvSpPr>
      <xdr:spPr>
        <a:xfrm>
          <a:off x="8505824" y="4067175"/>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r>
            <a:rPr lang="en-US" sz="900" b="1" i="0" u="none" strike="noStrike">
              <a:solidFill>
                <a:srgbClr val="376091"/>
              </a:solidFill>
              <a:latin typeface="Arial" pitchFamily="34" charset="0"/>
              <a:cs typeface="Arial" pitchFamily="34" charset="0"/>
            </a:rPr>
            <a:t>&gt;</a:t>
          </a:r>
          <a:r>
            <a:rPr lang="en-US" sz="900" b="1" i="0" u="none" strike="noStrike" baseline="0">
              <a:solidFill>
                <a:srgbClr val="376091"/>
              </a:solidFill>
              <a:latin typeface="Arial" pitchFamily="34" charset="0"/>
              <a:cs typeface="Arial" pitchFamily="34" charset="0"/>
            </a:rPr>
            <a:t> </a:t>
          </a:r>
          <a:r>
            <a:rPr lang="en-US" sz="900" b="1" i="0" u="sng" strike="noStrike" baseline="0">
              <a:solidFill>
                <a:srgbClr val="376091"/>
              </a:solidFill>
              <a:latin typeface="Arial" pitchFamily="34" charset="0"/>
              <a:cs typeface="Arial" pitchFamily="34" charset="0"/>
            </a:rPr>
            <a:t>Project Description</a:t>
          </a:r>
          <a:endParaRPr lang="en-US" sz="900" b="1" i="0" u="none" strike="noStrike">
            <a:solidFill>
              <a:srgbClr val="376091"/>
            </a:solidFill>
            <a:latin typeface="Arial" pitchFamily="34" charset="0"/>
            <a:cs typeface="Arial" pitchFamily="34" charset="0"/>
          </a:endParaRPr>
        </a:p>
      </xdr:txBody>
    </xdr:sp>
    <xdr:clientData fPrintsWithSheet="0"/>
  </xdr:oneCellAnchor>
  <xdr:twoCellAnchor>
    <xdr:from>
      <xdr:col>14</xdr:col>
      <xdr:colOff>361950</xdr:colOff>
      <xdr:row>111</xdr:row>
      <xdr:rowOff>142875</xdr:rowOff>
    </xdr:from>
    <xdr:to>
      <xdr:col>21</xdr:col>
      <xdr:colOff>133350</xdr:colOff>
      <xdr:row>111</xdr:row>
      <xdr:rowOff>142875</xdr:rowOff>
    </xdr:to>
    <xdr:cxnSp macro="">
      <xdr:nvCxnSpPr>
        <xdr:cNvPr id="270" name="DOTTED_LINE">
          <a:extLst>
            <a:ext uri="{FF2B5EF4-FFF2-40B4-BE49-F238E27FC236}">
              <a16:creationId xmlns:a16="http://schemas.microsoft.com/office/drawing/2014/main" id="{00000000-0008-0000-0100-00000E010000}"/>
            </a:ext>
          </a:extLst>
        </xdr:cNvPr>
        <xdr:cNvCxnSpPr/>
      </xdr:nvCxnSpPr>
      <xdr:spPr>
        <a:xfrm>
          <a:off x="11334750" y="29337000"/>
          <a:ext cx="31718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66675</xdr:colOff>
      <xdr:row>923</xdr:row>
      <xdr:rowOff>257175</xdr:rowOff>
    </xdr:from>
    <xdr:to>
      <xdr:col>24</xdr:col>
      <xdr:colOff>114300</xdr:colOff>
      <xdr:row>928</xdr:row>
      <xdr:rowOff>57155</xdr:rowOff>
    </xdr:to>
    <xdr:grpSp>
      <xdr:nvGrpSpPr>
        <xdr:cNvPr id="6" name="Group 5">
          <a:extLst>
            <a:ext uri="{FF2B5EF4-FFF2-40B4-BE49-F238E27FC236}">
              <a16:creationId xmlns:a16="http://schemas.microsoft.com/office/drawing/2014/main" id="{00000000-0008-0000-0100-000006000000}"/>
            </a:ext>
          </a:extLst>
        </xdr:cNvPr>
        <xdr:cNvGrpSpPr/>
      </xdr:nvGrpSpPr>
      <xdr:grpSpPr>
        <a:xfrm>
          <a:off x="66675" y="276396450"/>
          <a:ext cx="7372350" cy="1181105"/>
          <a:chOff x="8191500" y="217274773"/>
          <a:chExt cx="7372350" cy="1209682"/>
        </a:xfrm>
      </xdr:grpSpPr>
      <xdr:grpSp>
        <xdr:nvGrpSpPr>
          <xdr:cNvPr id="247" name="SECTION_GROUP">
            <a:extLst>
              <a:ext uri="{FF2B5EF4-FFF2-40B4-BE49-F238E27FC236}">
                <a16:creationId xmlns:a16="http://schemas.microsoft.com/office/drawing/2014/main" id="{00000000-0008-0000-0100-0000F7000000}"/>
              </a:ext>
            </a:extLst>
          </xdr:cNvPr>
          <xdr:cNvGrpSpPr/>
        </xdr:nvGrpSpPr>
        <xdr:grpSpPr>
          <a:xfrm>
            <a:off x="8191500" y="217274773"/>
            <a:ext cx="7362824" cy="1209682"/>
            <a:chOff x="9363075" y="17306808"/>
            <a:chExt cx="7362825" cy="1302130"/>
          </a:xfrm>
        </xdr:grpSpPr>
        <xdr:sp macro="" textlink="$B$467">
          <xdr:nvSpPr>
            <xdr:cNvPr id="251" name="SECTION_GROUP_TITLE">
              <a:extLst>
                <a:ext uri="{FF2B5EF4-FFF2-40B4-BE49-F238E27FC236}">
                  <a16:creationId xmlns:a16="http://schemas.microsoft.com/office/drawing/2014/main" id="{00000000-0008-0000-0100-0000FB000000}"/>
                </a:ext>
              </a:extLst>
            </xdr:cNvPr>
            <xdr:cNvSpPr/>
          </xdr:nvSpPr>
          <xdr:spPr>
            <a:xfrm>
              <a:off x="9363075" y="17306808"/>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7E07478C-20C2-4B9A-8963-84C288FD2AA8}" type="TxLink">
                <a:rPr lang="en-US" sz="1000" b="1" i="0" u="none" strike="noStrike">
                  <a:solidFill>
                    <a:srgbClr val="FFFFFF"/>
                  </a:solidFill>
                  <a:latin typeface="Arialri"/>
                  <a:cs typeface="Arial" pitchFamily="34" charset="0"/>
                </a:rPr>
                <a:pPr algn="l"/>
                <a:t>In-District Projects (Maximum Points: 5)</a:t>
              </a:fld>
              <a:endParaRPr lang="en-US" sz="1000" b="1" i="0" u="none" strike="noStrike">
                <a:solidFill>
                  <a:schemeClr val="bg1"/>
                </a:solidFill>
                <a:latin typeface="Arial" pitchFamily="34" charset="0"/>
                <a:cs typeface="Arial" pitchFamily="34" charset="0"/>
              </a:endParaRPr>
            </a:p>
          </xdr:txBody>
        </xdr:sp>
        <xdr:sp macro="" textlink="">
          <xdr:nvSpPr>
            <xdr:cNvPr id="256" name="SECTION_GROUP_FRAME">
              <a:extLst>
                <a:ext uri="{FF2B5EF4-FFF2-40B4-BE49-F238E27FC236}">
                  <a16:creationId xmlns:a16="http://schemas.microsoft.com/office/drawing/2014/main" id="{00000000-0008-0000-0100-000000010000}"/>
                </a:ext>
              </a:extLst>
            </xdr:cNvPr>
            <xdr:cNvSpPr/>
          </xdr:nvSpPr>
          <xdr:spPr>
            <a:xfrm>
              <a:off x="9363075" y="17641467"/>
              <a:ext cx="7362825" cy="967471"/>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474">
          <xdr:nvSpPr>
            <xdr:cNvPr id="272" name="SECTION_GROUP_SUBTITLE">
              <a:extLst>
                <a:ext uri="{FF2B5EF4-FFF2-40B4-BE49-F238E27FC236}">
                  <a16:creationId xmlns:a16="http://schemas.microsoft.com/office/drawing/2014/main" id="{00000000-0008-0000-0100-000010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5B74BEF6-100C-4929-B082-6F648ECCDFB3}" type="TxLink">
                <a:rPr lang="en-US" sz="800" b="0" i="0" u="none" strike="noStrike">
                  <a:solidFill>
                    <a:srgbClr val="000000"/>
                  </a:solidFill>
                  <a:latin typeface="Arialri"/>
                  <a:cs typeface="Arial" pitchFamily="34" charset="0"/>
                </a:rPr>
                <a:pPr algn="r"/>
                <a:t>Not Started</a:t>
              </a:fld>
              <a:endParaRPr lang="en-US" sz="1050" b="0" i="0">
                <a:latin typeface="Arial" pitchFamily="34" charset="0"/>
                <a:cs typeface="Arial" pitchFamily="34" charset="0"/>
              </a:endParaRPr>
            </a:p>
          </xdr:txBody>
        </xdr:sp>
        <xdr:sp macro="" textlink="">
          <xdr:nvSpPr>
            <xdr:cNvPr id="286" name="SECTION_GROUP_SUBTITLE_LABEL">
              <a:extLst>
                <a:ext uri="{FF2B5EF4-FFF2-40B4-BE49-F238E27FC236}">
                  <a16:creationId xmlns:a16="http://schemas.microsoft.com/office/drawing/2014/main" id="{00000000-0008-0000-0100-00001E010000}"/>
                </a:ext>
              </a:extLst>
            </xdr:cNvPr>
            <xdr:cNvSpPr txBox="1"/>
          </xdr:nvSpPr>
          <xdr:spPr>
            <a:xfrm>
              <a:off x="15640051"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sp macro="" textlink="">
        <xdr:nvSpPr>
          <xdr:cNvPr id="344" name="LINK_RENTAL_TOC">
            <a:hlinkClick xmlns:r="http://schemas.openxmlformats.org/officeDocument/2006/relationships" r:id="rId16"/>
            <a:extLst>
              <a:ext uri="{FF2B5EF4-FFF2-40B4-BE49-F238E27FC236}">
                <a16:creationId xmlns:a16="http://schemas.microsoft.com/office/drawing/2014/main" id="{00000000-0008-0000-0100-000058010000}"/>
              </a:ext>
            </a:extLst>
          </xdr:cNvPr>
          <xdr:cNvSpPr/>
        </xdr:nvSpPr>
        <xdr:spPr>
          <a:xfrm>
            <a:off x="14535150" y="217284300"/>
            <a:ext cx="1028700" cy="30480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grpSp>
    <xdr:clientData fPrintsWithSheet="0"/>
  </xdr:twoCellAnchor>
  <xdr:oneCellAnchor>
    <xdr:from>
      <xdr:col>16</xdr:col>
      <xdr:colOff>314325</xdr:colOff>
      <xdr:row>19</xdr:row>
      <xdr:rowOff>9525</xdr:rowOff>
    </xdr:from>
    <xdr:ext cx="2162175" cy="264560"/>
    <xdr:sp macro="" textlink="$AC$20">
      <xdr:nvSpPr>
        <xdr:cNvPr id="433" name="TOC_SECTION_LINK">
          <a:hlinkClick xmlns:r="http://schemas.openxmlformats.org/officeDocument/2006/relationships" r:id="rId23"/>
          <a:extLst>
            <a:ext uri="{FF2B5EF4-FFF2-40B4-BE49-F238E27FC236}">
              <a16:creationId xmlns:a16="http://schemas.microsoft.com/office/drawing/2014/main" id="{00000000-0008-0000-0100-0000B1010000}"/>
            </a:ext>
          </a:extLst>
        </xdr:cNvPr>
        <xdr:cNvSpPr txBox="1"/>
      </xdr:nvSpPr>
      <xdr:spPr>
        <a:xfrm>
          <a:off x="12182475" y="4400550"/>
          <a:ext cx="216217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34DB5363-07E5-4FCC-B1B9-1C7D80572FF2}" type="TxLink">
            <a:rPr lang="en-US" sz="900" b="1" i="0" u="sng" strike="noStrike">
              <a:solidFill>
                <a:srgbClr val="366092"/>
              </a:solidFill>
              <a:latin typeface="Arial"/>
              <a:cs typeface="Arial"/>
            </a:rPr>
            <a:pPr algn="l"/>
            <a:t>Promotion of Empowerment</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twoCellAnchor>
    <xdr:from>
      <xdr:col>18</xdr:col>
      <xdr:colOff>123825</xdr:colOff>
      <xdr:row>927</xdr:row>
      <xdr:rowOff>142875</xdr:rowOff>
    </xdr:from>
    <xdr:to>
      <xdr:col>21</xdr:col>
      <xdr:colOff>104775</xdr:colOff>
      <xdr:row>927</xdr:row>
      <xdr:rowOff>142875</xdr:rowOff>
    </xdr:to>
    <xdr:cxnSp macro="">
      <xdr:nvCxnSpPr>
        <xdr:cNvPr id="436" name="DOTTED_LINE">
          <a:extLst>
            <a:ext uri="{FF2B5EF4-FFF2-40B4-BE49-F238E27FC236}">
              <a16:creationId xmlns:a16="http://schemas.microsoft.com/office/drawing/2014/main" id="{00000000-0008-0000-0100-0000B4010000}"/>
            </a:ext>
          </a:extLst>
        </xdr:cNvPr>
        <xdr:cNvCxnSpPr/>
      </xdr:nvCxnSpPr>
      <xdr:spPr>
        <a:xfrm>
          <a:off x="12887325" y="190776225"/>
          <a:ext cx="15906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19050</xdr:colOff>
          <xdr:row>84</xdr:row>
          <xdr:rowOff>28575</xdr:rowOff>
        </xdr:from>
        <xdr:to>
          <xdr:col>8</xdr:col>
          <xdr:colOff>638175</xdr:colOff>
          <xdr:row>84</xdr:row>
          <xdr:rowOff>247650</xdr:rowOff>
        </xdr:to>
        <xdr:sp macro="" textlink="">
          <xdr:nvSpPr>
            <xdr:cNvPr id="20485" name="OTHER_DISTRICT_ATLANTA" hidden="1">
              <a:extLst>
                <a:ext uri="{63B3BB69-23CF-44E3-9099-C40C66FF867C}">
                  <a14:compatExt spid="_x0000_s20485"/>
                </a:ext>
                <a:ext uri="{FF2B5EF4-FFF2-40B4-BE49-F238E27FC236}">
                  <a16:creationId xmlns:a16="http://schemas.microsoft.com/office/drawing/2014/main" id="{00000000-0008-0000-01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Atlanta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409575</xdr:colOff>
          <xdr:row>84</xdr:row>
          <xdr:rowOff>28575</xdr:rowOff>
        </xdr:from>
        <xdr:to>
          <xdr:col>20</xdr:col>
          <xdr:colOff>285750</xdr:colOff>
          <xdr:row>84</xdr:row>
          <xdr:rowOff>247650</xdr:rowOff>
        </xdr:to>
        <xdr:sp macro="" textlink="">
          <xdr:nvSpPr>
            <xdr:cNvPr id="20489" name="OTHER_DISTRICT_CINCINNATI" hidden="1">
              <a:extLst>
                <a:ext uri="{63B3BB69-23CF-44E3-9099-C40C66FF867C}">
                  <a14:compatExt spid="_x0000_s20489"/>
                </a:ext>
                <a:ext uri="{FF2B5EF4-FFF2-40B4-BE49-F238E27FC236}">
                  <a16:creationId xmlns:a16="http://schemas.microsoft.com/office/drawing/2014/main" id="{00000000-0008-0000-01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Cincinnati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84</xdr:row>
          <xdr:rowOff>28575</xdr:rowOff>
        </xdr:from>
        <xdr:to>
          <xdr:col>22</xdr:col>
          <xdr:colOff>647700</xdr:colOff>
          <xdr:row>84</xdr:row>
          <xdr:rowOff>247650</xdr:rowOff>
        </xdr:to>
        <xdr:sp macro="" textlink="">
          <xdr:nvSpPr>
            <xdr:cNvPr id="20490" name="OTHER_DISTRICT_DALLAS" hidden="1">
              <a:extLst>
                <a:ext uri="{63B3BB69-23CF-44E3-9099-C40C66FF867C}">
                  <a14:compatExt spid="_x0000_s20490"/>
                </a:ext>
                <a:ext uri="{FF2B5EF4-FFF2-40B4-BE49-F238E27FC236}">
                  <a16:creationId xmlns:a16="http://schemas.microsoft.com/office/drawing/2014/main" id="{00000000-0008-0000-01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Dallas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495300</xdr:colOff>
          <xdr:row>85</xdr:row>
          <xdr:rowOff>38100</xdr:rowOff>
        </xdr:from>
        <xdr:to>
          <xdr:col>16</xdr:col>
          <xdr:colOff>390525</xdr:colOff>
          <xdr:row>85</xdr:row>
          <xdr:rowOff>257175</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1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York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409575</xdr:colOff>
          <xdr:row>85</xdr:row>
          <xdr:rowOff>38100</xdr:rowOff>
        </xdr:from>
        <xdr:to>
          <xdr:col>20</xdr:col>
          <xdr:colOff>295275</xdr:colOff>
          <xdr:row>85</xdr:row>
          <xdr:rowOff>257175</xdr:rowOff>
        </xdr:to>
        <xdr:sp macro="" textlink="">
          <xdr:nvSpPr>
            <xdr:cNvPr id="20492" name="OTHER_DISTRICT_PITTSBURGH" hidden="1">
              <a:extLst>
                <a:ext uri="{63B3BB69-23CF-44E3-9099-C40C66FF867C}">
                  <a14:compatExt spid="_x0000_s20492"/>
                </a:ext>
                <a:ext uri="{FF2B5EF4-FFF2-40B4-BE49-F238E27FC236}">
                  <a16:creationId xmlns:a16="http://schemas.microsoft.com/office/drawing/2014/main" id="{00000000-0008-0000-01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Pittsburgh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85</xdr:row>
          <xdr:rowOff>38100</xdr:rowOff>
        </xdr:from>
        <xdr:to>
          <xdr:col>22</xdr:col>
          <xdr:colOff>647700</xdr:colOff>
          <xdr:row>85</xdr:row>
          <xdr:rowOff>257175</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1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Topeka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84</xdr:row>
          <xdr:rowOff>28575</xdr:rowOff>
        </xdr:from>
        <xdr:to>
          <xdr:col>12</xdr:col>
          <xdr:colOff>228600</xdr:colOff>
          <xdr:row>84</xdr:row>
          <xdr:rowOff>247650</xdr:rowOff>
        </xdr:to>
        <xdr:sp macro="" textlink="">
          <xdr:nvSpPr>
            <xdr:cNvPr id="20494" name="OTHER_DISTRICT_BOSTON" hidden="1">
              <a:extLst>
                <a:ext uri="{63B3BB69-23CF-44E3-9099-C40C66FF867C}">
                  <a14:compatExt spid="_x0000_s20494"/>
                </a:ext>
                <a:ext uri="{FF2B5EF4-FFF2-40B4-BE49-F238E27FC236}">
                  <a16:creationId xmlns:a16="http://schemas.microsoft.com/office/drawing/2014/main" id="{00000000-0008-0000-01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Boston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495300</xdr:colOff>
          <xdr:row>84</xdr:row>
          <xdr:rowOff>28575</xdr:rowOff>
        </xdr:from>
        <xdr:to>
          <xdr:col>16</xdr:col>
          <xdr:colOff>219075</xdr:colOff>
          <xdr:row>84</xdr:row>
          <xdr:rowOff>247650</xdr:rowOff>
        </xdr:to>
        <xdr:sp macro="" textlink="">
          <xdr:nvSpPr>
            <xdr:cNvPr id="20495" name="OTHER_DISTRICT_CHICAGO" hidden="1">
              <a:extLst>
                <a:ext uri="{63B3BB69-23CF-44E3-9099-C40C66FF867C}">
                  <a14:compatExt spid="_x0000_s20495"/>
                </a:ext>
                <a:ext uri="{FF2B5EF4-FFF2-40B4-BE49-F238E27FC236}">
                  <a16:creationId xmlns:a16="http://schemas.microsoft.com/office/drawing/2014/main" id="{00000000-0008-0000-01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Chicago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85</xdr:row>
          <xdr:rowOff>38100</xdr:rowOff>
        </xdr:from>
        <xdr:to>
          <xdr:col>9</xdr:col>
          <xdr:colOff>104775</xdr:colOff>
          <xdr:row>85</xdr:row>
          <xdr:rowOff>257175</xdr:rowOff>
        </xdr:to>
        <xdr:sp macro="" textlink="">
          <xdr:nvSpPr>
            <xdr:cNvPr id="20496" name="OTHER_DISTRICT_DESMOINES" hidden="1">
              <a:extLst>
                <a:ext uri="{63B3BB69-23CF-44E3-9099-C40C66FF867C}">
                  <a14:compatExt spid="_x0000_s20496"/>
                </a:ext>
                <a:ext uri="{FF2B5EF4-FFF2-40B4-BE49-F238E27FC236}">
                  <a16:creationId xmlns:a16="http://schemas.microsoft.com/office/drawing/2014/main" id="{00000000-0008-0000-01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Des Moines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85</xdr:row>
          <xdr:rowOff>38100</xdr:rowOff>
        </xdr:from>
        <xdr:to>
          <xdr:col>12</xdr:col>
          <xdr:colOff>495300</xdr:colOff>
          <xdr:row>85</xdr:row>
          <xdr:rowOff>257175</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1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Indianapolis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716</xdr:row>
          <xdr:rowOff>19050</xdr:rowOff>
        </xdr:from>
        <xdr:to>
          <xdr:col>22</xdr:col>
          <xdr:colOff>685800</xdr:colOff>
          <xdr:row>716</xdr:row>
          <xdr:rowOff>238125</xdr:rowOff>
        </xdr:to>
        <xdr:sp macro="" textlink="">
          <xdr:nvSpPr>
            <xdr:cNvPr id="20510" name="Option Button 30" hidden="1">
              <a:extLst>
                <a:ext uri="{63B3BB69-23CF-44E3-9099-C40C66FF867C}">
                  <a14:compatExt spid="_x0000_s20510"/>
                </a:ext>
                <a:ext uri="{FF2B5EF4-FFF2-40B4-BE49-F238E27FC236}">
                  <a16:creationId xmlns:a16="http://schemas.microsoft.com/office/drawing/2014/main" id="{00000000-0008-0000-0100-00001E50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720</xdr:row>
          <xdr:rowOff>19050</xdr:rowOff>
        </xdr:from>
        <xdr:to>
          <xdr:col>22</xdr:col>
          <xdr:colOff>666750</xdr:colOff>
          <xdr:row>720</xdr:row>
          <xdr:rowOff>238125</xdr:rowOff>
        </xdr:to>
        <xdr:sp macro="" textlink="">
          <xdr:nvSpPr>
            <xdr:cNvPr id="20514" name="Option Button 34" hidden="1">
              <a:extLst>
                <a:ext uri="{63B3BB69-23CF-44E3-9099-C40C66FF867C}">
                  <a14:compatExt spid="_x0000_s20514"/>
                </a:ext>
                <a:ext uri="{FF2B5EF4-FFF2-40B4-BE49-F238E27FC236}">
                  <a16:creationId xmlns:a16="http://schemas.microsoft.com/office/drawing/2014/main" id="{00000000-0008-0000-0100-00002250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729</xdr:row>
          <xdr:rowOff>76200</xdr:rowOff>
        </xdr:from>
        <xdr:to>
          <xdr:col>22</xdr:col>
          <xdr:colOff>657225</xdr:colOff>
          <xdr:row>730</xdr:row>
          <xdr:rowOff>180975</xdr:rowOff>
        </xdr:to>
        <xdr:sp macro="" textlink="">
          <xdr:nvSpPr>
            <xdr:cNvPr id="20515" name="Option Button 35" hidden="1">
              <a:extLst>
                <a:ext uri="{63B3BB69-23CF-44E3-9099-C40C66FF867C}">
                  <a14:compatExt spid="_x0000_s20515"/>
                </a:ext>
                <a:ext uri="{FF2B5EF4-FFF2-40B4-BE49-F238E27FC236}">
                  <a16:creationId xmlns:a16="http://schemas.microsoft.com/office/drawing/2014/main" id="{00000000-0008-0000-0100-00002350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724</xdr:row>
          <xdr:rowOff>9525</xdr:rowOff>
        </xdr:from>
        <xdr:to>
          <xdr:col>22</xdr:col>
          <xdr:colOff>676275</xdr:colOff>
          <xdr:row>725</xdr:row>
          <xdr:rowOff>0</xdr:rowOff>
        </xdr:to>
        <xdr:sp macro="" textlink="">
          <xdr:nvSpPr>
            <xdr:cNvPr id="20516" name="Option Button 36" hidden="1">
              <a:extLst>
                <a:ext uri="{63B3BB69-23CF-44E3-9099-C40C66FF867C}">
                  <a14:compatExt spid="_x0000_s20516"/>
                </a:ext>
                <a:ext uri="{FF2B5EF4-FFF2-40B4-BE49-F238E27FC236}">
                  <a16:creationId xmlns:a16="http://schemas.microsoft.com/office/drawing/2014/main" id="{00000000-0008-0000-0100-00002450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738</xdr:row>
          <xdr:rowOff>19050</xdr:rowOff>
        </xdr:from>
        <xdr:to>
          <xdr:col>22</xdr:col>
          <xdr:colOff>685800</xdr:colOff>
          <xdr:row>738</xdr:row>
          <xdr:rowOff>238125</xdr:rowOff>
        </xdr:to>
        <xdr:sp macro="" textlink="">
          <xdr:nvSpPr>
            <xdr:cNvPr id="20523" name="Option Button 43" hidden="1">
              <a:extLst>
                <a:ext uri="{63B3BB69-23CF-44E3-9099-C40C66FF867C}">
                  <a14:compatExt spid="_x0000_s20523"/>
                </a:ext>
                <a:ext uri="{FF2B5EF4-FFF2-40B4-BE49-F238E27FC236}">
                  <a16:creationId xmlns:a16="http://schemas.microsoft.com/office/drawing/2014/main" id="{00000000-0008-0000-0100-00002B50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741</xdr:row>
          <xdr:rowOff>19050</xdr:rowOff>
        </xdr:from>
        <xdr:to>
          <xdr:col>22</xdr:col>
          <xdr:colOff>666750</xdr:colOff>
          <xdr:row>741</xdr:row>
          <xdr:rowOff>238125</xdr:rowOff>
        </xdr:to>
        <xdr:sp macro="" textlink="">
          <xdr:nvSpPr>
            <xdr:cNvPr id="20524" name="Option Button 44" hidden="1">
              <a:extLst>
                <a:ext uri="{63B3BB69-23CF-44E3-9099-C40C66FF867C}">
                  <a14:compatExt spid="_x0000_s20524"/>
                </a:ext>
                <a:ext uri="{FF2B5EF4-FFF2-40B4-BE49-F238E27FC236}">
                  <a16:creationId xmlns:a16="http://schemas.microsoft.com/office/drawing/2014/main" id="{00000000-0008-0000-0100-00002C50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744</xdr:row>
          <xdr:rowOff>28575</xdr:rowOff>
        </xdr:from>
        <xdr:to>
          <xdr:col>22</xdr:col>
          <xdr:colOff>666750</xdr:colOff>
          <xdr:row>744</xdr:row>
          <xdr:rowOff>247650</xdr:rowOff>
        </xdr:to>
        <xdr:sp macro="" textlink="">
          <xdr:nvSpPr>
            <xdr:cNvPr id="20525" name="Option Button 45" hidden="1">
              <a:extLst>
                <a:ext uri="{63B3BB69-23CF-44E3-9099-C40C66FF867C}">
                  <a14:compatExt spid="_x0000_s20525"/>
                </a:ext>
                <a:ext uri="{FF2B5EF4-FFF2-40B4-BE49-F238E27FC236}">
                  <a16:creationId xmlns:a16="http://schemas.microsoft.com/office/drawing/2014/main" id="{00000000-0008-0000-0100-00002D50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790</xdr:row>
          <xdr:rowOff>28575</xdr:rowOff>
        </xdr:from>
        <xdr:to>
          <xdr:col>22</xdr:col>
          <xdr:colOff>685800</xdr:colOff>
          <xdr:row>791</xdr:row>
          <xdr:rowOff>266700</xdr:rowOff>
        </xdr:to>
        <xdr:sp macro="" textlink="">
          <xdr:nvSpPr>
            <xdr:cNvPr id="20528" name="Option Button 48" hidden="1">
              <a:extLst>
                <a:ext uri="{63B3BB69-23CF-44E3-9099-C40C66FF867C}">
                  <a14:compatExt spid="_x0000_s20528"/>
                </a:ext>
                <a:ext uri="{FF2B5EF4-FFF2-40B4-BE49-F238E27FC236}">
                  <a16:creationId xmlns:a16="http://schemas.microsoft.com/office/drawing/2014/main" id="{00000000-0008-0000-0100-00003050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794</xdr:row>
          <xdr:rowOff>28575</xdr:rowOff>
        </xdr:from>
        <xdr:to>
          <xdr:col>22</xdr:col>
          <xdr:colOff>666750</xdr:colOff>
          <xdr:row>795</xdr:row>
          <xdr:rowOff>257175</xdr:rowOff>
        </xdr:to>
        <xdr:sp macro="" textlink="">
          <xdr:nvSpPr>
            <xdr:cNvPr id="20529" name="Option Button 49" hidden="1">
              <a:extLst>
                <a:ext uri="{63B3BB69-23CF-44E3-9099-C40C66FF867C}">
                  <a14:compatExt spid="_x0000_s20529"/>
                </a:ext>
                <a:ext uri="{FF2B5EF4-FFF2-40B4-BE49-F238E27FC236}">
                  <a16:creationId xmlns:a16="http://schemas.microsoft.com/office/drawing/2014/main" id="{00000000-0008-0000-0100-00003150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798</xdr:row>
          <xdr:rowOff>19050</xdr:rowOff>
        </xdr:from>
        <xdr:to>
          <xdr:col>22</xdr:col>
          <xdr:colOff>666750</xdr:colOff>
          <xdr:row>799</xdr:row>
          <xdr:rowOff>247650</xdr:rowOff>
        </xdr:to>
        <xdr:sp macro="" textlink="">
          <xdr:nvSpPr>
            <xdr:cNvPr id="20530" name="Option Button 50" hidden="1">
              <a:extLst>
                <a:ext uri="{63B3BB69-23CF-44E3-9099-C40C66FF867C}">
                  <a14:compatExt spid="_x0000_s20530"/>
                </a:ext>
                <a:ext uri="{FF2B5EF4-FFF2-40B4-BE49-F238E27FC236}">
                  <a16:creationId xmlns:a16="http://schemas.microsoft.com/office/drawing/2014/main" id="{00000000-0008-0000-0100-00003250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802</xdr:row>
          <xdr:rowOff>19050</xdr:rowOff>
        </xdr:from>
        <xdr:to>
          <xdr:col>22</xdr:col>
          <xdr:colOff>685800</xdr:colOff>
          <xdr:row>802</xdr:row>
          <xdr:rowOff>238125</xdr:rowOff>
        </xdr:to>
        <xdr:sp macro="" textlink="">
          <xdr:nvSpPr>
            <xdr:cNvPr id="20531" name="Option Button 51" hidden="1">
              <a:extLst>
                <a:ext uri="{63B3BB69-23CF-44E3-9099-C40C66FF867C}">
                  <a14:compatExt spid="_x0000_s20531"/>
                </a:ext>
                <a:ext uri="{FF2B5EF4-FFF2-40B4-BE49-F238E27FC236}">
                  <a16:creationId xmlns:a16="http://schemas.microsoft.com/office/drawing/2014/main" id="{00000000-0008-0000-0100-00003350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816</xdr:row>
          <xdr:rowOff>19050</xdr:rowOff>
        </xdr:from>
        <xdr:to>
          <xdr:col>22</xdr:col>
          <xdr:colOff>695325</xdr:colOff>
          <xdr:row>816</xdr:row>
          <xdr:rowOff>238125</xdr:rowOff>
        </xdr:to>
        <xdr:sp macro="" textlink="">
          <xdr:nvSpPr>
            <xdr:cNvPr id="20532" name="Check Box 52" hidden="1">
              <a:extLst>
                <a:ext uri="{63B3BB69-23CF-44E3-9099-C40C66FF867C}">
                  <a14:compatExt spid="_x0000_s20532"/>
                </a:ext>
                <a:ext uri="{FF2B5EF4-FFF2-40B4-BE49-F238E27FC236}">
                  <a16:creationId xmlns:a16="http://schemas.microsoft.com/office/drawing/2014/main" id="{00000000-0008-0000-0100-00003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820</xdr:row>
          <xdr:rowOff>28575</xdr:rowOff>
        </xdr:from>
        <xdr:to>
          <xdr:col>22</xdr:col>
          <xdr:colOff>695325</xdr:colOff>
          <xdr:row>820</xdr:row>
          <xdr:rowOff>247650</xdr:rowOff>
        </xdr:to>
        <xdr:sp macro="" textlink="">
          <xdr:nvSpPr>
            <xdr:cNvPr id="20533" name="Check Box 53" hidden="1">
              <a:extLst>
                <a:ext uri="{63B3BB69-23CF-44E3-9099-C40C66FF867C}">
                  <a14:compatExt spid="_x0000_s20533"/>
                </a:ext>
                <a:ext uri="{FF2B5EF4-FFF2-40B4-BE49-F238E27FC236}">
                  <a16:creationId xmlns:a16="http://schemas.microsoft.com/office/drawing/2014/main" id="{00000000-0008-0000-0100-00003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831</xdr:row>
          <xdr:rowOff>19050</xdr:rowOff>
        </xdr:from>
        <xdr:to>
          <xdr:col>22</xdr:col>
          <xdr:colOff>685800</xdr:colOff>
          <xdr:row>831</xdr:row>
          <xdr:rowOff>238125</xdr:rowOff>
        </xdr:to>
        <xdr:sp macro="" textlink="">
          <xdr:nvSpPr>
            <xdr:cNvPr id="20535" name="Option Button 55" hidden="1">
              <a:extLst>
                <a:ext uri="{63B3BB69-23CF-44E3-9099-C40C66FF867C}">
                  <a14:compatExt spid="_x0000_s20535"/>
                </a:ext>
                <a:ext uri="{FF2B5EF4-FFF2-40B4-BE49-F238E27FC236}">
                  <a16:creationId xmlns:a16="http://schemas.microsoft.com/office/drawing/2014/main" id="{00000000-0008-0000-0100-00003750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836</xdr:row>
          <xdr:rowOff>19050</xdr:rowOff>
        </xdr:from>
        <xdr:to>
          <xdr:col>22</xdr:col>
          <xdr:colOff>666750</xdr:colOff>
          <xdr:row>836</xdr:row>
          <xdr:rowOff>238125</xdr:rowOff>
        </xdr:to>
        <xdr:sp macro="" textlink="">
          <xdr:nvSpPr>
            <xdr:cNvPr id="20536" name="Option Button 56" hidden="1">
              <a:extLst>
                <a:ext uri="{63B3BB69-23CF-44E3-9099-C40C66FF867C}">
                  <a14:compatExt spid="_x0000_s20536"/>
                </a:ext>
                <a:ext uri="{FF2B5EF4-FFF2-40B4-BE49-F238E27FC236}">
                  <a16:creationId xmlns:a16="http://schemas.microsoft.com/office/drawing/2014/main" id="{00000000-0008-0000-0100-00003850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847</xdr:row>
          <xdr:rowOff>19050</xdr:rowOff>
        </xdr:from>
        <xdr:to>
          <xdr:col>22</xdr:col>
          <xdr:colOff>666750</xdr:colOff>
          <xdr:row>847</xdr:row>
          <xdr:rowOff>238125</xdr:rowOff>
        </xdr:to>
        <xdr:sp macro="" textlink="">
          <xdr:nvSpPr>
            <xdr:cNvPr id="20537" name="Option Button 57" hidden="1">
              <a:extLst>
                <a:ext uri="{63B3BB69-23CF-44E3-9099-C40C66FF867C}">
                  <a14:compatExt spid="_x0000_s20537"/>
                </a:ext>
                <a:ext uri="{FF2B5EF4-FFF2-40B4-BE49-F238E27FC236}">
                  <a16:creationId xmlns:a16="http://schemas.microsoft.com/office/drawing/2014/main" id="{00000000-0008-0000-0100-00003950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747</xdr:row>
          <xdr:rowOff>19050</xdr:rowOff>
        </xdr:from>
        <xdr:to>
          <xdr:col>22</xdr:col>
          <xdr:colOff>676275</xdr:colOff>
          <xdr:row>747</xdr:row>
          <xdr:rowOff>238125</xdr:rowOff>
        </xdr:to>
        <xdr:sp macro="" textlink="">
          <xdr:nvSpPr>
            <xdr:cNvPr id="20538" name="Option Button 58" hidden="1">
              <a:extLst>
                <a:ext uri="{63B3BB69-23CF-44E3-9099-C40C66FF867C}">
                  <a14:compatExt spid="_x0000_s20538"/>
                </a:ext>
                <a:ext uri="{FF2B5EF4-FFF2-40B4-BE49-F238E27FC236}">
                  <a16:creationId xmlns:a16="http://schemas.microsoft.com/office/drawing/2014/main" id="{00000000-0008-0000-0100-00003A50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38100</xdr:colOff>
      <xdr:row>111</xdr:row>
      <xdr:rowOff>85725</xdr:rowOff>
    </xdr:from>
    <xdr:to>
      <xdr:col>8</xdr:col>
      <xdr:colOff>129540</xdr:colOff>
      <xdr:row>111</xdr:row>
      <xdr:rowOff>177165</xdr:rowOff>
    </xdr:to>
    <xdr:sp macro="" textlink="">
      <xdr:nvSpPr>
        <xdr:cNvPr id="435" name="RT_ARROW_3">
          <a:extLst>
            <a:ext uri="{FF2B5EF4-FFF2-40B4-BE49-F238E27FC236}">
              <a16:creationId xmlns:a16="http://schemas.microsoft.com/office/drawing/2014/main" id="{00000000-0008-0000-0100-0000B3010000}"/>
            </a:ext>
          </a:extLst>
        </xdr:cNvPr>
        <xdr:cNvSpPr/>
      </xdr:nvSpPr>
      <xdr:spPr>
        <a:xfrm>
          <a:off x="8324850" y="29279850"/>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8</xdr:col>
      <xdr:colOff>38100</xdr:colOff>
      <xdr:row>112</xdr:row>
      <xdr:rowOff>85725</xdr:rowOff>
    </xdr:from>
    <xdr:to>
      <xdr:col>8</xdr:col>
      <xdr:colOff>129540</xdr:colOff>
      <xdr:row>112</xdr:row>
      <xdr:rowOff>177165</xdr:rowOff>
    </xdr:to>
    <xdr:sp macro="" textlink="">
      <xdr:nvSpPr>
        <xdr:cNvPr id="438" name="RT_ARROW_3">
          <a:extLst>
            <a:ext uri="{FF2B5EF4-FFF2-40B4-BE49-F238E27FC236}">
              <a16:creationId xmlns:a16="http://schemas.microsoft.com/office/drawing/2014/main" id="{00000000-0008-0000-0100-0000B6010000}"/>
            </a:ext>
          </a:extLst>
        </xdr:cNvPr>
        <xdr:cNvSpPr/>
      </xdr:nvSpPr>
      <xdr:spPr>
        <a:xfrm>
          <a:off x="8324850" y="29556075"/>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14</xdr:col>
      <xdr:colOff>504825</xdr:colOff>
      <xdr:row>249</xdr:row>
      <xdr:rowOff>152400</xdr:rowOff>
    </xdr:from>
    <xdr:to>
      <xdr:col>19</xdr:col>
      <xdr:colOff>76200</xdr:colOff>
      <xdr:row>249</xdr:row>
      <xdr:rowOff>152400</xdr:rowOff>
    </xdr:to>
    <xdr:cxnSp macro="">
      <xdr:nvCxnSpPr>
        <xdr:cNvPr id="411" name="DOTTED_LINE">
          <a:extLst>
            <a:ext uri="{FF2B5EF4-FFF2-40B4-BE49-F238E27FC236}">
              <a16:creationId xmlns:a16="http://schemas.microsoft.com/office/drawing/2014/main" id="{00000000-0008-0000-0100-00009B010000}"/>
            </a:ext>
          </a:extLst>
        </xdr:cNvPr>
        <xdr:cNvCxnSpPr/>
      </xdr:nvCxnSpPr>
      <xdr:spPr>
        <a:xfrm>
          <a:off x="11477625" y="53378100"/>
          <a:ext cx="20764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314325</xdr:colOff>
      <xdr:row>250</xdr:row>
      <xdr:rowOff>152400</xdr:rowOff>
    </xdr:from>
    <xdr:to>
      <xdr:col>19</xdr:col>
      <xdr:colOff>57150</xdr:colOff>
      <xdr:row>250</xdr:row>
      <xdr:rowOff>152400</xdr:rowOff>
    </xdr:to>
    <xdr:cxnSp macro="">
      <xdr:nvCxnSpPr>
        <xdr:cNvPr id="441" name="DOTTED_LINE">
          <a:extLst>
            <a:ext uri="{FF2B5EF4-FFF2-40B4-BE49-F238E27FC236}">
              <a16:creationId xmlns:a16="http://schemas.microsoft.com/office/drawing/2014/main" id="{00000000-0008-0000-0100-0000B9010000}"/>
            </a:ext>
          </a:extLst>
        </xdr:cNvPr>
        <xdr:cNvCxnSpPr/>
      </xdr:nvCxnSpPr>
      <xdr:spPr>
        <a:xfrm>
          <a:off x="11287125" y="53654325"/>
          <a:ext cx="22479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695325</xdr:colOff>
      <xdr:row>160</xdr:row>
      <xdr:rowOff>152400</xdr:rowOff>
    </xdr:from>
    <xdr:to>
      <xdr:col>21</xdr:col>
      <xdr:colOff>104775</xdr:colOff>
      <xdr:row>160</xdr:row>
      <xdr:rowOff>152400</xdr:rowOff>
    </xdr:to>
    <xdr:cxnSp macro="">
      <xdr:nvCxnSpPr>
        <xdr:cNvPr id="442" name="DOTTED_LINE">
          <a:extLst>
            <a:ext uri="{FF2B5EF4-FFF2-40B4-BE49-F238E27FC236}">
              <a16:creationId xmlns:a16="http://schemas.microsoft.com/office/drawing/2014/main" id="{00000000-0008-0000-0100-0000BA010000}"/>
            </a:ext>
          </a:extLst>
        </xdr:cNvPr>
        <xdr:cNvCxnSpPr/>
      </xdr:nvCxnSpPr>
      <xdr:spPr>
        <a:xfrm>
          <a:off x="14354175" y="37080825"/>
          <a:ext cx="1238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695325</xdr:colOff>
      <xdr:row>162</xdr:row>
      <xdr:rowOff>152400</xdr:rowOff>
    </xdr:from>
    <xdr:to>
      <xdr:col>21</xdr:col>
      <xdr:colOff>104775</xdr:colOff>
      <xdr:row>162</xdr:row>
      <xdr:rowOff>152400</xdr:rowOff>
    </xdr:to>
    <xdr:cxnSp macro="">
      <xdr:nvCxnSpPr>
        <xdr:cNvPr id="443" name="DOTTED_LINE">
          <a:extLst>
            <a:ext uri="{FF2B5EF4-FFF2-40B4-BE49-F238E27FC236}">
              <a16:creationId xmlns:a16="http://schemas.microsoft.com/office/drawing/2014/main" id="{00000000-0008-0000-0100-0000BB010000}"/>
            </a:ext>
          </a:extLst>
        </xdr:cNvPr>
        <xdr:cNvCxnSpPr/>
      </xdr:nvCxnSpPr>
      <xdr:spPr>
        <a:xfrm>
          <a:off x="14354175" y="37080825"/>
          <a:ext cx="1238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695325</xdr:colOff>
      <xdr:row>165</xdr:row>
      <xdr:rowOff>152400</xdr:rowOff>
    </xdr:from>
    <xdr:to>
      <xdr:col>21</xdr:col>
      <xdr:colOff>104775</xdr:colOff>
      <xdr:row>165</xdr:row>
      <xdr:rowOff>152400</xdr:rowOff>
    </xdr:to>
    <xdr:cxnSp macro="">
      <xdr:nvCxnSpPr>
        <xdr:cNvPr id="445" name="DOTTED_LINE">
          <a:extLst>
            <a:ext uri="{FF2B5EF4-FFF2-40B4-BE49-F238E27FC236}">
              <a16:creationId xmlns:a16="http://schemas.microsoft.com/office/drawing/2014/main" id="{00000000-0008-0000-0100-0000BD010000}"/>
            </a:ext>
          </a:extLst>
        </xdr:cNvPr>
        <xdr:cNvCxnSpPr/>
      </xdr:nvCxnSpPr>
      <xdr:spPr>
        <a:xfrm>
          <a:off x="14354175" y="37080825"/>
          <a:ext cx="1238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695325</xdr:colOff>
      <xdr:row>167</xdr:row>
      <xdr:rowOff>152400</xdr:rowOff>
    </xdr:from>
    <xdr:to>
      <xdr:col>21</xdr:col>
      <xdr:colOff>104775</xdr:colOff>
      <xdr:row>167</xdr:row>
      <xdr:rowOff>152400</xdr:rowOff>
    </xdr:to>
    <xdr:cxnSp macro="">
      <xdr:nvCxnSpPr>
        <xdr:cNvPr id="446" name="DOTTED_LINE">
          <a:extLst>
            <a:ext uri="{FF2B5EF4-FFF2-40B4-BE49-F238E27FC236}">
              <a16:creationId xmlns:a16="http://schemas.microsoft.com/office/drawing/2014/main" id="{00000000-0008-0000-0100-0000BE010000}"/>
            </a:ext>
          </a:extLst>
        </xdr:cNvPr>
        <xdr:cNvCxnSpPr/>
      </xdr:nvCxnSpPr>
      <xdr:spPr>
        <a:xfrm>
          <a:off x="14354175" y="38461950"/>
          <a:ext cx="1238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695325</xdr:colOff>
      <xdr:row>169</xdr:row>
      <xdr:rowOff>152400</xdr:rowOff>
    </xdr:from>
    <xdr:to>
      <xdr:col>21</xdr:col>
      <xdr:colOff>104775</xdr:colOff>
      <xdr:row>169</xdr:row>
      <xdr:rowOff>152400</xdr:rowOff>
    </xdr:to>
    <xdr:cxnSp macro="">
      <xdr:nvCxnSpPr>
        <xdr:cNvPr id="447" name="DOTTED_LINE">
          <a:extLst>
            <a:ext uri="{FF2B5EF4-FFF2-40B4-BE49-F238E27FC236}">
              <a16:creationId xmlns:a16="http://schemas.microsoft.com/office/drawing/2014/main" id="{00000000-0008-0000-0100-0000BF010000}"/>
            </a:ext>
          </a:extLst>
        </xdr:cNvPr>
        <xdr:cNvCxnSpPr/>
      </xdr:nvCxnSpPr>
      <xdr:spPr>
        <a:xfrm>
          <a:off x="14354175" y="39014400"/>
          <a:ext cx="1238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18</xdr:col>
      <xdr:colOff>685799</xdr:colOff>
      <xdr:row>177</xdr:row>
      <xdr:rowOff>95250</xdr:rowOff>
    </xdr:from>
    <xdr:to>
      <xdr:col>20</xdr:col>
      <xdr:colOff>714374</xdr:colOff>
      <xdr:row>178</xdr:row>
      <xdr:rowOff>28575</xdr:rowOff>
    </xdr:to>
    <xdr:sp macro="" textlink="">
      <xdr:nvSpPr>
        <xdr:cNvPr id="449" name="IMPLEMENTATION_PLAN_LINK">
          <a:hlinkClick xmlns:r="http://schemas.openxmlformats.org/officeDocument/2006/relationships" r:id="rId24"/>
          <a:extLst>
            <a:ext uri="{FF2B5EF4-FFF2-40B4-BE49-F238E27FC236}">
              <a16:creationId xmlns:a16="http://schemas.microsoft.com/office/drawing/2014/main" id="{00000000-0008-0000-0100-0000C1010000}"/>
            </a:ext>
          </a:extLst>
        </xdr:cNvPr>
        <xdr:cNvSpPr/>
      </xdr:nvSpPr>
      <xdr:spPr>
        <a:xfrm>
          <a:off x="13449299" y="41995725"/>
          <a:ext cx="923925" cy="2095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7</xdr:col>
      <xdr:colOff>9528</xdr:colOff>
      <xdr:row>0</xdr:row>
      <xdr:rowOff>0</xdr:rowOff>
    </xdr:from>
    <xdr:to>
      <xdr:col>25</xdr:col>
      <xdr:colOff>0</xdr:colOff>
      <xdr:row>3</xdr:row>
      <xdr:rowOff>36927</xdr:rowOff>
    </xdr:to>
    <xdr:sp macro="" textlink="">
      <xdr:nvSpPr>
        <xdr:cNvPr id="309" name="HEADER_SHORTCUT_TOP">
          <a:hlinkClick xmlns:r="http://schemas.openxmlformats.org/officeDocument/2006/relationships" r:id="rId16" tooltip="Jump to top of Application"/>
          <a:extLst>
            <a:ext uri="{FF2B5EF4-FFF2-40B4-BE49-F238E27FC236}">
              <a16:creationId xmlns:a16="http://schemas.microsoft.com/office/drawing/2014/main" id="{00000000-0008-0000-0100-000035010000}"/>
            </a:ext>
          </a:extLst>
        </xdr:cNvPr>
        <xdr:cNvSpPr/>
      </xdr:nvSpPr>
      <xdr:spPr>
        <a:xfrm>
          <a:off x="8134353" y="0"/>
          <a:ext cx="7477122" cy="837027"/>
        </a:xfrm>
        <a:prstGeom prst="rect">
          <a:avLst/>
        </a:prstGeom>
        <a:solidFill>
          <a:schemeClr val="bg1">
            <a:alpha val="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700">
            <a:latin typeface="Arial" pitchFamily="34" charset="0"/>
            <a:cs typeface="Arial" pitchFamily="34" charset="0"/>
          </a:endParaRPr>
        </a:p>
      </xdr:txBody>
    </xdr:sp>
    <xdr:clientData fPrintsWithSheet="0"/>
  </xdr:twoCellAnchor>
  <xdr:twoCellAnchor>
    <xdr:from>
      <xdr:col>20</xdr:col>
      <xdr:colOff>247650</xdr:colOff>
      <xdr:row>139</xdr:row>
      <xdr:rowOff>152400</xdr:rowOff>
    </xdr:from>
    <xdr:to>
      <xdr:col>21</xdr:col>
      <xdr:colOff>133350</xdr:colOff>
      <xdr:row>139</xdr:row>
      <xdr:rowOff>152400</xdr:rowOff>
    </xdr:to>
    <xdr:cxnSp macro="">
      <xdr:nvCxnSpPr>
        <xdr:cNvPr id="444" name="DOTTED_LINE">
          <a:extLst>
            <a:ext uri="{FF2B5EF4-FFF2-40B4-BE49-F238E27FC236}">
              <a16:creationId xmlns:a16="http://schemas.microsoft.com/office/drawing/2014/main" id="{00000000-0008-0000-0100-0000BC010000}"/>
            </a:ext>
          </a:extLst>
        </xdr:cNvPr>
        <xdr:cNvCxnSpPr/>
      </xdr:nvCxnSpPr>
      <xdr:spPr>
        <a:xfrm>
          <a:off x="13906500" y="37137975"/>
          <a:ext cx="6000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141</xdr:row>
      <xdr:rowOff>152400</xdr:rowOff>
    </xdr:from>
    <xdr:to>
      <xdr:col>21</xdr:col>
      <xdr:colOff>133350</xdr:colOff>
      <xdr:row>141</xdr:row>
      <xdr:rowOff>152400</xdr:rowOff>
    </xdr:to>
    <xdr:cxnSp macro="">
      <xdr:nvCxnSpPr>
        <xdr:cNvPr id="448" name="DOTTED_LINE">
          <a:extLst>
            <a:ext uri="{FF2B5EF4-FFF2-40B4-BE49-F238E27FC236}">
              <a16:creationId xmlns:a16="http://schemas.microsoft.com/office/drawing/2014/main" id="{00000000-0008-0000-0100-0000C0010000}"/>
            </a:ext>
          </a:extLst>
        </xdr:cNvPr>
        <xdr:cNvCxnSpPr/>
      </xdr:nvCxnSpPr>
      <xdr:spPr>
        <a:xfrm>
          <a:off x="14373225" y="37690425"/>
          <a:ext cx="1333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457200</xdr:colOff>
      <xdr:row>143</xdr:row>
      <xdr:rowOff>152400</xdr:rowOff>
    </xdr:from>
    <xdr:to>
      <xdr:col>21</xdr:col>
      <xdr:colOff>133350</xdr:colOff>
      <xdr:row>143</xdr:row>
      <xdr:rowOff>152400</xdr:rowOff>
    </xdr:to>
    <xdr:cxnSp macro="">
      <xdr:nvCxnSpPr>
        <xdr:cNvPr id="450" name="DOTTED_LINE">
          <a:extLst>
            <a:ext uri="{FF2B5EF4-FFF2-40B4-BE49-F238E27FC236}">
              <a16:creationId xmlns:a16="http://schemas.microsoft.com/office/drawing/2014/main" id="{00000000-0008-0000-0100-0000C2010000}"/>
            </a:ext>
          </a:extLst>
        </xdr:cNvPr>
        <xdr:cNvCxnSpPr/>
      </xdr:nvCxnSpPr>
      <xdr:spPr>
        <a:xfrm>
          <a:off x="14116050" y="38242875"/>
          <a:ext cx="3905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57150</xdr:colOff>
      <xdr:row>147</xdr:row>
      <xdr:rowOff>95250</xdr:rowOff>
    </xdr:from>
    <xdr:to>
      <xdr:col>8</xdr:col>
      <xdr:colOff>148590</xdr:colOff>
      <xdr:row>147</xdr:row>
      <xdr:rowOff>186690</xdr:rowOff>
    </xdr:to>
    <xdr:sp macro="" textlink="">
      <xdr:nvSpPr>
        <xdr:cNvPr id="451" name="RT_ARROW_2">
          <a:extLst>
            <a:ext uri="{FF2B5EF4-FFF2-40B4-BE49-F238E27FC236}">
              <a16:creationId xmlns:a16="http://schemas.microsoft.com/office/drawing/2014/main" id="{00000000-0008-0000-0100-0000C3010000}"/>
            </a:ext>
          </a:extLst>
        </xdr:cNvPr>
        <xdr:cNvSpPr/>
      </xdr:nvSpPr>
      <xdr:spPr>
        <a:xfrm>
          <a:off x="8343900" y="47301150"/>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18</xdr:col>
      <xdr:colOff>342900</xdr:colOff>
      <xdr:row>145</xdr:row>
      <xdr:rowOff>152400</xdr:rowOff>
    </xdr:from>
    <xdr:to>
      <xdr:col>21</xdr:col>
      <xdr:colOff>133350</xdr:colOff>
      <xdr:row>145</xdr:row>
      <xdr:rowOff>152400</xdr:rowOff>
    </xdr:to>
    <xdr:cxnSp macro="">
      <xdr:nvCxnSpPr>
        <xdr:cNvPr id="452" name="DOTTED_LINE">
          <a:extLst>
            <a:ext uri="{FF2B5EF4-FFF2-40B4-BE49-F238E27FC236}">
              <a16:creationId xmlns:a16="http://schemas.microsoft.com/office/drawing/2014/main" id="{00000000-0008-0000-0100-0000C4010000}"/>
            </a:ext>
          </a:extLst>
        </xdr:cNvPr>
        <xdr:cNvCxnSpPr/>
      </xdr:nvCxnSpPr>
      <xdr:spPr>
        <a:xfrm>
          <a:off x="13106400" y="38795325"/>
          <a:ext cx="14001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38100</xdr:colOff>
          <xdr:row>733</xdr:row>
          <xdr:rowOff>19050</xdr:rowOff>
        </xdr:from>
        <xdr:to>
          <xdr:col>22</xdr:col>
          <xdr:colOff>657225</xdr:colOff>
          <xdr:row>733</xdr:row>
          <xdr:rowOff>257175</xdr:rowOff>
        </xdr:to>
        <xdr:sp macro="" textlink="">
          <xdr:nvSpPr>
            <xdr:cNvPr id="20555" name="Option Button 75" hidden="1">
              <a:extLst>
                <a:ext uri="{63B3BB69-23CF-44E3-9099-C40C66FF867C}">
                  <a14:compatExt spid="_x0000_s20555"/>
                </a:ext>
                <a:ext uri="{FF2B5EF4-FFF2-40B4-BE49-F238E27FC236}">
                  <a16:creationId xmlns:a16="http://schemas.microsoft.com/office/drawing/2014/main" id="{00000000-0008-0000-0100-00004B50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806</xdr:row>
          <xdr:rowOff>19050</xdr:rowOff>
        </xdr:from>
        <xdr:to>
          <xdr:col>22</xdr:col>
          <xdr:colOff>695325</xdr:colOff>
          <xdr:row>806</xdr:row>
          <xdr:rowOff>238125</xdr:rowOff>
        </xdr:to>
        <xdr:sp macro="" textlink="">
          <xdr:nvSpPr>
            <xdr:cNvPr id="20566" name="Option Button 86" hidden="1">
              <a:extLst>
                <a:ext uri="{63B3BB69-23CF-44E3-9099-C40C66FF867C}">
                  <a14:compatExt spid="_x0000_s20566"/>
                </a:ext>
                <a:ext uri="{FF2B5EF4-FFF2-40B4-BE49-F238E27FC236}">
                  <a16:creationId xmlns:a16="http://schemas.microsoft.com/office/drawing/2014/main" id="{00000000-0008-0000-0100-00005650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666750</xdr:colOff>
      <xdr:row>186</xdr:row>
      <xdr:rowOff>133350</xdr:rowOff>
    </xdr:from>
    <xdr:to>
      <xdr:col>21</xdr:col>
      <xdr:colOff>133350</xdr:colOff>
      <xdr:row>186</xdr:row>
      <xdr:rowOff>133350</xdr:rowOff>
    </xdr:to>
    <xdr:cxnSp macro="">
      <xdr:nvCxnSpPr>
        <xdr:cNvPr id="412" name="DOTTED_LINE">
          <a:extLst>
            <a:ext uri="{FF2B5EF4-FFF2-40B4-BE49-F238E27FC236}">
              <a16:creationId xmlns:a16="http://schemas.microsoft.com/office/drawing/2014/main" id="{00000000-0008-0000-0100-00009C010000}"/>
            </a:ext>
          </a:extLst>
        </xdr:cNvPr>
        <xdr:cNvCxnSpPr/>
      </xdr:nvCxnSpPr>
      <xdr:spPr>
        <a:xfrm>
          <a:off x="14325600" y="49825275"/>
          <a:ext cx="1809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666750</xdr:colOff>
      <xdr:row>190</xdr:row>
      <xdr:rowOff>152400</xdr:rowOff>
    </xdr:from>
    <xdr:to>
      <xdr:col>21</xdr:col>
      <xdr:colOff>133350</xdr:colOff>
      <xdr:row>190</xdr:row>
      <xdr:rowOff>152400</xdr:rowOff>
    </xdr:to>
    <xdr:cxnSp macro="">
      <xdr:nvCxnSpPr>
        <xdr:cNvPr id="421" name="DOTTED_LINE">
          <a:extLst>
            <a:ext uri="{FF2B5EF4-FFF2-40B4-BE49-F238E27FC236}">
              <a16:creationId xmlns:a16="http://schemas.microsoft.com/office/drawing/2014/main" id="{00000000-0008-0000-0100-0000A5010000}"/>
            </a:ext>
          </a:extLst>
        </xdr:cNvPr>
        <xdr:cNvCxnSpPr/>
      </xdr:nvCxnSpPr>
      <xdr:spPr>
        <a:xfrm>
          <a:off x="14325600" y="49291875"/>
          <a:ext cx="1809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666750</xdr:colOff>
      <xdr:row>192</xdr:row>
      <xdr:rowOff>133350</xdr:rowOff>
    </xdr:from>
    <xdr:to>
      <xdr:col>21</xdr:col>
      <xdr:colOff>133350</xdr:colOff>
      <xdr:row>192</xdr:row>
      <xdr:rowOff>133350</xdr:rowOff>
    </xdr:to>
    <xdr:cxnSp macro="">
      <xdr:nvCxnSpPr>
        <xdr:cNvPr id="453" name="DOTTED_LINE">
          <a:extLst>
            <a:ext uri="{FF2B5EF4-FFF2-40B4-BE49-F238E27FC236}">
              <a16:creationId xmlns:a16="http://schemas.microsoft.com/office/drawing/2014/main" id="{00000000-0008-0000-0100-0000C5010000}"/>
            </a:ext>
          </a:extLst>
        </xdr:cNvPr>
        <xdr:cNvCxnSpPr/>
      </xdr:nvCxnSpPr>
      <xdr:spPr>
        <a:xfrm>
          <a:off x="14325600" y="49825275"/>
          <a:ext cx="1809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16</xdr:col>
      <xdr:colOff>409575</xdr:colOff>
      <xdr:row>299</xdr:row>
      <xdr:rowOff>209550</xdr:rowOff>
    </xdr:from>
    <xdr:to>
      <xdr:col>22</xdr:col>
      <xdr:colOff>571500</xdr:colOff>
      <xdr:row>300</xdr:row>
      <xdr:rowOff>219075</xdr:rowOff>
    </xdr:to>
    <xdr:sp macro="" textlink="">
      <xdr:nvSpPr>
        <xdr:cNvPr id="2" name="Rectangle 1">
          <a:hlinkClick xmlns:r="http://schemas.openxmlformats.org/officeDocument/2006/relationships" r:id="rId25"/>
          <a:extLst>
            <a:ext uri="{FF2B5EF4-FFF2-40B4-BE49-F238E27FC236}">
              <a16:creationId xmlns:a16="http://schemas.microsoft.com/office/drawing/2014/main" id="{00000000-0008-0000-0100-000002000000}"/>
            </a:ext>
          </a:extLst>
        </xdr:cNvPr>
        <xdr:cNvSpPr/>
      </xdr:nvSpPr>
      <xdr:spPr>
        <a:xfrm>
          <a:off x="12277725" y="81114900"/>
          <a:ext cx="2847975"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xdr:from>
      <xdr:col>15</xdr:col>
      <xdr:colOff>9525</xdr:colOff>
      <xdr:row>301</xdr:row>
      <xdr:rowOff>152400</xdr:rowOff>
    </xdr:from>
    <xdr:to>
      <xdr:col>21</xdr:col>
      <xdr:colOff>133350</xdr:colOff>
      <xdr:row>301</xdr:row>
      <xdr:rowOff>152400</xdr:rowOff>
    </xdr:to>
    <xdr:cxnSp macro="">
      <xdr:nvCxnSpPr>
        <xdr:cNvPr id="454" name="DOTTED_LINE">
          <a:extLst>
            <a:ext uri="{FF2B5EF4-FFF2-40B4-BE49-F238E27FC236}">
              <a16:creationId xmlns:a16="http://schemas.microsoft.com/office/drawing/2014/main" id="{00000000-0008-0000-0100-0000C6010000}"/>
            </a:ext>
          </a:extLst>
        </xdr:cNvPr>
        <xdr:cNvCxnSpPr/>
      </xdr:nvCxnSpPr>
      <xdr:spPr>
        <a:xfrm>
          <a:off x="11696700" y="81610200"/>
          <a:ext cx="28098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66675</xdr:colOff>
      <xdr:row>311</xdr:row>
      <xdr:rowOff>152400</xdr:rowOff>
    </xdr:from>
    <xdr:to>
      <xdr:col>21</xdr:col>
      <xdr:colOff>133350</xdr:colOff>
      <xdr:row>311</xdr:row>
      <xdr:rowOff>152400</xdr:rowOff>
    </xdr:to>
    <xdr:cxnSp macro="">
      <xdr:nvCxnSpPr>
        <xdr:cNvPr id="455" name="DOTTED_LINE">
          <a:extLst>
            <a:ext uri="{FF2B5EF4-FFF2-40B4-BE49-F238E27FC236}">
              <a16:creationId xmlns:a16="http://schemas.microsoft.com/office/drawing/2014/main" id="{00000000-0008-0000-0100-0000C7010000}"/>
            </a:ext>
          </a:extLst>
        </xdr:cNvPr>
        <xdr:cNvCxnSpPr/>
      </xdr:nvCxnSpPr>
      <xdr:spPr>
        <a:xfrm>
          <a:off x="11753850" y="84372450"/>
          <a:ext cx="27527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57150</xdr:colOff>
      <xdr:row>301</xdr:row>
      <xdr:rowOff>95250</xdr:rowOff>
    </xdr:from>
    <xdr:to>
      <xdr:col>8</xdr:col>
      <xdr:colOff>148590</xdr:colOff>
      <xdr:row>301</xdr:row>
      <xdr:rowOff>186690</xdr:rowOff>
    </xdr:to>
    <xdr:sp macro="" textlink="">
      <xdr:nvSpPr>
        <xdr:cNvPr id="456" name="RT_ARROW_2">
          <a:extLst>
            <a:ext uri="{FF2B5EF4-FFF2-40B4-BE49-F238E27FC236}">
              <a16:creationId xmlns:a16="http://schemas.microsoft.com/office/drawing/2014/main" id="{00000000-0008-0000-0100-0000C8010000}"/>
            </a:ext>
          </a:extLst>
        </xdr:cNvPr>
        <xdr:cNvSpPr/>
      </xdr:nvSpPr>
      <xdr:spPr>
        <a:xfrm>
          <a:off x="8343900" y="81553050"/>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8</xdr:col>
      <xdr:colOff>57150</xdr:colOff>
      <xdr:row>311</xdr:row>
      <xdr:rowOff>95250</xdr:rowOff>
    </xdr:from>
    <xdr:to>
      <xdr:col>8</xdr:col>
      <xdr:colOff>148590</xdr:colOff>
      <xdr:row>311</xdr:row>
      <xdr:rowOff>186690</xdr:rowOff>
    </xdr:to>
    <xdr:sp macro="" textlink="">
      <xdr:nvSpPr>
        <xdr:cNvPr id="457" name="RT_ARROW_2">
          <a:extLst>
            <a:ext uri="{FF2B5EF4-FFF2-40B4-BE49-F238E27FC236}">
              <a16:creationId xmlns:a16="http://schemas.microsoft.com/office/drawing/2014/main" id="{00000000-0008-0000-0100-0000C9010000}"/>
            </a:ext>
          </a:extLst>
        </xdr:cNvPr>
        <xdr:cNvSpPr/>
      </xdr:nvSpPr>
      <xdr:spPr>
        <a:xfrm>
          <a:off x="8343900" y="84315300"/>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editAs="oneCell">
    <xdr:from>
      <xdr:col>7</xdr:col>
      <xdr:colOff>66675</xdr:colOff>
      <xdr:row>640</xdr:row>
      <xdr:rowOff>228604</xdr:rowOff>
    </xdr:from>
    <xdr:to>
      <xdr:col>24</xdr:col>
      <xdr:colOff>104774</xdr:colOff>
      <xdr:row>648</xdr:row>
      <xdr:rowOff>123827</xdr:rowOff>
    </xdr:to>
    <xdr:grpSp>
      <xdr:nvGrpSpPr>
        <xdr:cNvPr id="458" name="SECTION_GROUP">
          <a:extLst>
            <a:ext uri="{FF2B5EF4-FFF2-40B4-BE49-F238E27FC236}">
              <a16:creationId xmlns:a16="http://schemas.microsoft.com/office/drawing/2014/main" id="{00000000-0008-0000-0100-0000CA010000}"/>
            </a:ext>
          </a:extLst>
        </xdr:cNvPr>
        <xdr:cNvGrpSpPr/>
      </xdr:nvGrpSpPr>
      <xdr:grpSpPr>
        <a:xfrm>
          <a:off x="66675" y="198196204"/>
          <a:ext cx="7362824" cy="2105023"/>
          <a:chOff x="9363075" y="17274068"/>
          <a:chExt cx="7362825" cy="2411145"/>
        </a:xfrm>
      </xdr:grpSpPr>
      <xdr:sp macro="" textlink="$B$552">
        <xdr:nvSpPr>
          <xdr:cNvPr id="459" name="SECTION_GROUP_TITLE">
            <a:extLst>
              <a:ext uri="{FF2B5EF4-FFF2-40B4-BE49-F238E27FC236}">
                <a16:creationId xmlns:a16="http://schemas.microsoft.com/office/drawing/2014/main" id="{00000000-0008-0000-0100-0000CB010000}"/>
              </a:ext>
            </a:extLst>
          </xdr:cNvPr>
          <xdr:cNvSpPr/>
        </xdr:nvSpPr>
        <xdr:spPr>
          <a:xfrm>
            <a:off x="9363075" y="17274068"/>
            <a:ext cx="7360920" cy="356108"/>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D4D03F41-184A-414A-B35B-FBEA581C071B}" type="TxLink">
              <a:rPr lang="en-US" sz="1000" b="1" i="0" u="none" strike="noStrike">
                <a:solidFill>
                  <a:srgbClr val="FFFFFF"/>
                </a:solidFill>
                <a:latin typeface="Arial"/>
                <a:cs typeface="Arial"/>
              </a:rPr>
              <a:pPr algn="l"/>
              <a:t>Housing for Households Requiring Large Units (Maximum Points: 3)</a:t>
            </a:fld>
            <a:endParaRPr lang="en-US" sz="1000" b="1" i="0" u="none" strike="noStrike">
              <a:solidFill>
                <a:schemeClr val="bg1"/>
              </a:solidFill>
              <a:latin typeface="Arial" pitchFamily="34" charset="0"/>
              <a:cs typeface="Arial" pitchFamily="34" charset="0"/>
            </a:endParaRPr>
          </a:p>
        </xdr:txBody>
      </xdr:sp>
      <xdr:sp macro="" textlink="">
        <xdr:nvSpPr>
          <xdr:cNvPr id="460" name="SECTION_GROUP_FRAME">
            <a:extLst>
              <a:ext uri="{FF2B5EF4-FFF2-40B4-BE49-F238E27FC236}">
                <a16:creationId xmlns:a16="http://schemas.microsoft.com/office/drawing/2014/main" id="{00000000-0008-0000-0100-0000CC010000}"/>
              </a:ext>
            </a:extLst>
          </xdr:cNvPr>
          <xdr:cNvSpPr/>
        </xdr:nvSpPr>
        <xdr:spPr>
          <a:xfrm>
            <a:off x="9363075" y="17641463"/>
            <a:ext cx="7362825" cy="2043750"/>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559">
        <xdr:nvSpPr>
          <xdr:cNvPr id="461" name="SECTION_GROUP_SUBTITLE">
            <a:extLst>
              <a:ext uri="{FF2B5EF4-FFF2-40B4-BE49-F238E27FC236}">
                <a16:creationId xmlns:a16="http://schemas.microsoft.com/office/drawing/2014/main" id="{00000000-0008-0000-0100-0000CD010000}"/>
              </a:ext>
            </a:extLst>
          </xdr:cNvPr>
          <xdr:cNvSpPr/>
        </xdr:nvSpPr>
        <xdr:spPr>
          <a:xfrm>
            <a:off x="9372598" y="17650974"/>
            <a:ext cx="7351776" cy="314213"/>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88F2AAE5-D9D3-4F75-B161-71AD95B08309}" type="TxLink">
              <a:rPr lang="en-US" sz="800" b="0" i="0" u="none" strike="noStrike">
                <a:solidFill>
                  <a:srgbClr val="000000"/>
                </a:solidFill>
                <a:latin typeface="Arial"/>
                <a:cs typeface="Arial"/>
              </a:rPr>
              <a:pPr algn="r"/>
              <a:t>Not Started</a:t>
            </a:fld>
            <a:endParaRPr lang="en-US" sz="1050" b="0" i="0">
              <a:latin typeface="Arial" pitchFamily="34" charset="0"/>
              <a:cs typeface="Arial" pitchFamily="34" charset="0"/>
            </a:endParaRPr>
          </a:p>
        </xdr:txBody>
      </xdr:sp>
      <xdr:sp macro="" textlink="">
        <xdr:nvSpPr>
          <xdr:cNvPr id="462" name="SECTION_GROUP_SUBTITLE_LABEL">
            <a:extLst>
              <a:ext uri="{FF2B5EF4-FFF2-40B4-BE49-F238E27FC236}">
                <a16:creationId xmlns:a16="http://schemas.microsoft.com/office/drawing/2014/main" id="{00000000-0008-0000-0100-0000CE010000}"/>
              </a:ext>
            </a:extLst>
          </xdr:cNvPr>
          <xdr:cNvSpPr txBox="1"/>
        </xdr:nvSpPr>
        <xdr:spPr>
          <a:xfrm>
            <a:off x="15649576" y="17661893"/>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21</xdr:col>
      <xdr:colOff>161925</xdr:colOff>
      <xdr:row>640</xdr:row>
      <xdr:rowOff>247650</xdr:rowOff>
    </xdr:from>
    <xdr:to>
      <xdr:col>24</xdr:col>
      <xdr:colOff>114300</xdr:colOff>
      <xdr:row>642</xdr:row>
      <xdr:rowOff>0</xdr:rowOff>
    </xdr:to>
    <xdr:sp macro="" textlink="">
      <xdr:nvSpPr>
        <xdr:cNvPr id="463" name="LINK_RENTAL_TOC">
          <a:hlinkClick xmlns:r="http://schemas.openxmlformats.org/officeDocument/2006/relationships" r:id="rId16"/>
          <a:extLst>
            <a:ext uri="{FF2B5EF4-FFF2-40B4-BE49-F238E27FC236}">
              <a16:creationId xmlns:a16="http://schemas.microsoft.com/office/drawing/2014/main" id="{00000000-0008-0000-0100-0000CF010000}"/>
            </a:ext>
          </a:extLst>
        </xdr:cNvPr>
        <xdr:cNvSpPr/>
      </xdr:nvSpPr>
      <xdr:spPr>
        <a:xfrm>
          <a:off x="14535150" y="21036915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xdr:from>
      <xdr:col>13</xdr:col>
      <xdr:colOff>38100</xdr:colOff>
      <xdr:row>646</xdr:row>
      <xdr:rowOff>142875</xdr:rowOff>
    </xdr:from>
    <xdr:to>
      <xdr:col>21</xdr:col>
      <xdr:colOff>123825</xdr:colOff>
      <xdr:row>646</xdr:row>
      <xdr:rowOff>142875</xdr:rowOff>
    </xdr:to>
    <xdr:cxnSp macro="">
      <xdr:nvCxnSpPr>
        <xdr:cNvPr id="464" name="DOTTED_LINE">
          <a:extLst>
            <a:ext uri="{FF2B5EF4-FFF2-40B4-BE49-F238E27FC236}">
              <a16:creationId xmlns:a16="http://schemas.microsoft.com/office/drawing/2014/main" id="{00000000-0008-0000-0100-0000D0010000}"/>
            </a:ext>
          </a:extLst>
        </xdr:cNvPr>
        <xdr:cNvCxnSpPr/>
      </xdr:nvCxnSpPr>
      <xdr:spPr>
        <a:xfrm>
          <a:off x="10829925" y="211921725"/>
          <a:ext cx="36671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314325</xdr:colOff>
      <xdr:row>22</xdr:row>
      <xdr:rowOff>9525</xdr:rowOff>
    </xdr:from>
    <xdr:ext cx="2181225" cy="264560"/>
    <xdr:sp macro="" textlink="$AC$23">
      <xdr:nvSpPr>
        <xdr:cNvPr id="471" name="TOC_SECTION_LINK">
          <a:hlinkClick xmlns:r="http://schemas.openxmlformats.org/officeDocument/2006/relationships" r:id="rId26"/>
          <a:extLst>
            <a:ext uri="{FF2B5EF4-FFF2-40B4-BE49-F238E27FC236}">
              <a16:creationId xmlns:a16="http://schemas.microsoft.com/office/drawing/2014/main" id="{00000000-0008-0000-0100-0000D7010000}"/>
            </a:ext>
          </a:extLst>
        </xdr:cNvPr>
        <xdr:cNvSpPr txBox="1"/>
      </xdr:nvSpPr>
      <xdr:spPr>
        <a:xfrm>
          <a:off x="12182475" y="5229225"/>
          <a:ext cx="2181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927ADC67-4867-45F6-8D93-791F4A182BF9}" type="TxLink">
            <a:rPr lang="en-US" sz="900" b="1" i="0" u="sng" strike="noStrike">
              <a:solidFill>
                <a:srgbClr val="366092"/>
              </a:solidFill>
              <a:latin typeface="Arial"/>
              <a:cs typeface="Arial"/>
            </a:rPr>
            <a:pPr algn="l"/>
            <a:t>In-District Projects</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mc:AlternateContent xmlns:mc="http://schemas.openxmlformats.org/markup-compatibility/2006">
    <mc:Choice xmlns:a14="http://schemas.microsoft.com/office/drawing/2010/main" Requires="a14">
      <xdr:twoCellAnchor editAs="oneCell">
        <xdr:from>
          <xdr:col>8</xdr:col>
          <xdr:colOff>0</xdr:colOff>
          <xdr:row>716</xdr:row>
          <xdr:rowOff>9525</xdr:rowOff>
        </xdr:from>
        <xdr:to>
          <xdr:col>23</xdr:col>
          <xdr:colOff>0</xdr:colOff>
          <xdr:row>734</xdr:row>
          <xdr:rowOff>0</xdr:rowOff>
        </xdr:to>
        <xdr:sp macro="" textlink="">
          <xdr:nvSpPr>
            <xdr:cNvPr id="20509" name="Group Box 29" hidden="1">
              <a:extLst>
                <a:ext uri="{63B3BB69-23CF-44E3-9099-C40C66FF867C}">
                  <a14:compatExt spid="_x0000_s20509"/>
                </a:ext>
                <a:ext uri="{FF2B5EF4-FFF2-40B4-BE49-F238E27FC236}">
                  <a16:creationId xmlns:a16="http://schemas.microsoft.com/office/drawing/2014/main" id="{00000000-0008-0000-0100-00001D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738</xdr:row>
          <xdr:rowOff>9525</xdr:rowOff>
        </xdr:from>
        <xdr:to>
          <xdr:col>23</xdr:col>
          <xdr:colOff>0</xdr:colOff>
          <xdr:row>748</xdr:row>
          <xdr:rowOff>0</xdr:rowOff>
        </xdr:to>
        <xdr:sp macro="" textlink="">
          <xdr:nvSpPr>
            <xdr:cNvPr id="20522" name="Group Box 42" hidden="1">
              <a:extLst>
                <a:ext uri="{63B3BB69-23CF-44E3-9099-C40C66FF867C}">
                  <a14:compatExt spid="_x0000_s20522"/>
                </a:ext>
                <a:ext uri="{FF2B5EF4-FFF2-40B4-BE49-F238E27FC236}">
                  <a16:creationId xmlns:a16="http://schemas.microsoft.com/office/drawing/2014/main" id="{00000000-0008-0000-0100-00002A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831</xdr:row>
          <xdr:rowOff>9525</xdr:rowOff>
        </xdr:from>
        <xdr:to>
          <xdr:col>23</xdr:col>
          <xdr:colOff>0</xdr:colOff>
          <xdr:row>847</xdr:row>
          <xdr:rowOff>266700</xdr:rowOff>
        </xdr:to>
        <xdr:sp macro="" textlink="">
          <xdr:nvSpPr>
            <xdr:cNvPr id="20534" name="Group Box 54" hidden="1">
              <a:extLst>
                <a:ext uri="{63B3BB69-23CF-44E3-9099-C40C66FF867C}">
                  <a14:compatExt spid="_x0000_s20534"/>
                </a:ext>
                <a:ext uri="{FF2B5EF4-FFF2-40B4-BE49-F238E27FC236}">
                  <a16:creationId xmlns:a16="http://schemas.microsoft.com/office/drawing/2014/main" id="{00000000-0008-0000-0100-000036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790</xdr:row>
          <xdr:rowOff>9525</xdr:rowOff>
        </xdr:from>
        <xdr:to>
          <xdr:col>23</xdr:col>
          <xdr:colOff>0</xdr:colOff>
          <xdr:row>807</xdr:row>
          <xdr:rowOff>0</xdr:rowOff>
        </xdr:to>
        <xdr:sp macro="" textlink="">
          <xdr:nvSpPr>
            <xdr:cNvPr id="20527" name="Group Box 47" hidden="1">
              <a:extLst>
                <a:ext uri="{63B3BB69-23CF-44E3-9099-C40C66FF867C}">
                  <a14:compatExt spid="_x0000_s20527"/>
                </a:ext>
                <a:ext uri="{FF2B5EF4-FFF2-40B4-BE49-F238E27FC236}">
                  <a16:creationId xmlns:a16="http://schemas.microsoft.com/office/drawing/2014/main" id="{00000000-0008-0000-0100-00002F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7</xdr:col>
      <xdr:colOff>66676</xdr:colOff>
      <xdr:row>9</xdr:row>
      <xdr:rowOff>161928</xdr:rowOff>
    </xdr:from>
    <xdr:to>
      <xdr:col>24</xdr:col>
      <xdr:colOff>133352</xdr:colOff>
      <xdr:row>25</xdr:row>
      <xdr:rowOff>0</xdr:rowOff>
    </xdr:to>
    <xdr:grpSp>
      <xdr:nvGrpSpPr>
        <xdr:cNvPr id="14" name="Group 13">
          <a:extLst>
            <a:ext uri="{FF2B5EF4-FFF2-40B4-BE49-F238E27FC236}">
              <a16:creationId xmlns:a16="http://schemas.microsoft.com/office/drawing/2014/main" id="{00000000-0008-0000-0100-00000E000000}"/>
            </a:ext>
          </a:extLst>
        </xdr:cNvPr>
        <xdr:cNvGrpSpPr/>
      </xdr:nvGrpSpPr>
      <xdr:grpSpPr>
        <a:xfrm>
          <a:off x="66676" y="1876428"/>
          <a:ext cx="7391401" cy="4171947"/>
          <a:chOff x="8191501" y="1876428"/>
          <a:chExt cx="7391401" cy="4171947"/>
        </a:xfrm>
      </xdr:grpSpPr>
      <xdr:grpSp>
        <xdr:nvGrpSpPr>
          <xdr:cNvPr id="3" name="Group 2">
            <a:extLst>
              <a:ext uri="{FF2B5EF4-FFF2-40B4-BE49-F238E27FC236}">
                <a16:creationId xmlns:a16="http://schemas.microsoft.com/office/drawing/2014/main" id="{00000000-0008-0000-0100-000003000000}"/>
              </a:ext>
            </a:extLst>
          </xdr:cNvPr>
          <xdr:cNvGrpSpPr/>
        </xdr:nvGrpSpPr>
        <xdr:grpSpPr>
          <a:xfrm>
            <a:off x="8191501" y="1876428"/>
            <a:ext cx="7391401" cy="4171947"/>
            <a:chOff x="7639049" y="1819278"/>
            <a:chExt cx="7391401" cy="4171947"/>
          </a:xfrm>
        </xdr:grpSpPr>
        <xdr:grpSp>
          <xdr:nvGrpSpPr>
            <xdr:cNvPr id="330" name="TOC_FRAME">
              <a:extLst>
                <a:ext uri="{FF2B5EF4-FFF2-40B4-BE49-F238E27FC236}">
                  <a16:creationId xmlns:a16="http://schemas.microsoft.com/office/drawing/2014/main" id="{00000000-0008-0000-0100-00004A010000}"/>
                </a:ext>
              </a:extLst>
            </xdr:cNvPr>
            <xdr:cNvGrpSpPr/>
          </xdr:nvGrpSpPr>
          <xdr:grpSpPr>
            <a:xfrm>
              <a:off x="7648573" y="1819278"/>
              <a:ext cx="7370446" cy="4171947"/>
              <a:chOff x="8191498" y="1276170"/>
              <a:chExt cx="7370446" cy="4255660"/>
            </a:xfrm>
          </xdr:grpSpPr>
          <xdr:grpSp>
            <xdr:nvGrpSpPr>
              <xdr:cNvPr id="323" name="RENTAL_TABLE_OF_CONTENTS">
                <a:extLst>
                  <a:ext uri="{FF2B5EF4-FFF2-40B4-BE49-F238E27FC236}">
                    <a16:creationId xmlns:a16="http://schemas.microsoft.com/office/drawing/2014/main" id="{00000000-0008-0000-0100-000043010000}"/>
                  </a:ext>
                </a:extLst>
              </xdr:cNvPr>
              <xdr:cNvGrpSpPr/>
            </xdr:nvGrpSpPr>
            <xdr:grpSpPr>
              <a:xfrm>
                <a:off x="8191500" y="1276170"/>
                <a:ext cx="7370444" cy="4255660"/>
                <a:chOff x="8191500" y="1276170"/>
                <a:chExt cx="7370444" cy="4255660"/>
              </a:xfrm>
            </xdr:grpSpPr>
            <xdr:sp macro="" textlink="">
              <xdr:nvSpPr>
                <xdr:cNvPr id="50" name="TOC_HEADER_BG">
                  <a:extLst>
                    <a:ext uri="{FF2B5EF4-FFF2-40B4-BE49-F238E27FC236}">
                      <a16:creationId xmlns:a16="http://schemas.microsoft.com/office/drawing/2014/main" id="{00000000-0008-0000-0100-000032000000}"/>
                    </a:ext>
                  </a:extLst>
                </xdr:cNvPr>
                <xdr:cNvSpPr/>
              </xdr:nvSpPr>
              <xdr:spPr>
                <a:xfrm>
                  <a:off x="8201023" y="1601685"/>
                  <a:ext cx="7360921" cy="275969"/>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a:latin typeface="Arial" pitchFamily="34" charset="0"/>
                    <a:cs typeface="Arial" pitchFamily="34" charset="0"/>
                  </a:endParaRPr>
                </a:p>
              </xdr:txBody>
            </xdr:sp>
            <xdr:grpSp>
              <xdr:nvGrpSpPr>
                <xdr:cNvPr id="28" name="TOC">
                  <a:extLst>
                    <a:ext uri="{FF2B5EF4-FFF2-40B4-BE49-F238E27FC236}">
                      <a16:creationId xmlns:a16="http://schemas.microsoft.com/office/drawing/2014/main" id="{00000000-0008-0000-0100-00001C000000}"/>
                    </a:ext>
                  </a:extLst>
                </xdr:cNvPr>
                <xdr:cNvGrpSpPr/>
              </xdr:nvGrpSpPr>
              <xdr:grpSpPr>
                <a:xfrm>
                  <a:off x="8191500" y="1276170"/>
                  <a:ext cx="7360920" cy="4255660"/>
                  <a:chOff x="9239250" y="1816952"/>
                  <a:chExt cx="7360920" cy="3281147"/>
                </a:xfrm>
                <a:effectLst/>
              </xdr:grpSpPr>
              <xdr:sp macro="" textlink="">
                <xdr:nvSpPr>
                  <xdr:cNvPr id="31" name="Rectangle 30">
                    <a:extLst>
                      <a:ext uri="{FF2B5EF4-FFF2-40B4-BE49-F238E27FC236}">
                        <a16:creationId xmlns:a16="http://schemas.microsoft.com/office/drawing/2014/main" id="{00000000-0008-0000-0100-00001F000000}"/>
                      </a:ext>
                    </a:extLst>
                  </xdr:cNvPr>
                  <xdr:cNvSpPr/>
                </xdr:nvSpPr>
                <xdr:spPr>
                  <a:xfrm>
                    <a:off x="9239250" y="2052091"/>
                    <a:ext cx="7360920" cy="3046008"/>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a:latin typeface="Arial" pitchFamily="34" charset="0"/>
                      <a:cs typeface="Arial" pitchFamily="34" charset="0"/>
                    </a:endParaRPr>
                  </a:p>
                </xdr:txBody>
              </xdr:sp>
              <xdr:sp macro="" textlink="">
                <xdr:nvSpPr>
                  <xdr:cNvPr id="45" name="TOC_TITLE">
                    <a:extLst>
                      <a:ext uri="{FF2B5EF4-FFF2-40B4-BE49-F238E27FC236}">
                        <a16:creationId xmlns:a16="http://schemas.microsoft.com/office/drawing/2014/main" id="{00000000-0008-0000-0100-00002D000000}"/>
                      </a:ext>
                    </a:extLst>
                  </xdr:cNvPr>
                  <xdr:cNvSpPr/>
                </xdr:nvSpPr>
                <xdr:spPr>
                  <a:xfrm>
                    <a:off x="9239250" y="1816952"/>
                    <a:ext cx="7360920" cy="244295"/>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r>
                      <a:rPr lang="en-US" sz="1000" b="1">
                        <a:solidFill>
                          <a:schemeClr val="bg1"/>
                        </a:solidFill>
                        <a:latin typeface="Arial" pitchFamily="34" charset="0"/>
                        <a:cs typeface="Arial" pitchFamily="34" charset="0"/>
                      </a:rPr>
                      <a:t>Application</a:t>
                    </a:r>
                    <a:r>
                      <a:rPr lang="en-US" sz="1100" b="1">
                        <a:solidFill>
                          <a:schemeClr val="bg1"/>
                        </a:solidFill>
                        <a:latin typeface="Arial" pitchFamily="34" charset="0"/>
                        <a:cs typeface="Arial" pitchFamily="34" charset="0"/>
                      </a:rPr>
                      <a:t> Table of Contents</a:t>
                    </a:r>
                  </a:p>
                </xdr:txBody>
              </xdr:sp>
            </xdr:grpSp>
            <xdr:sp macro="" textlink="">
              <xdr:nvSpPr>
                <xdr:cNvPr id="51" name="TOC_HEADER_LABEL_1">
                  <a:extLst>
                    <a:ext uri="{FF2B5EF4-FFF2-40B4-BE49-F238E27FC236}">
                      <a16:creationId xmlns:a16="http://schemas.microsoft.com/office/drawing/2014/main" id="{00000000-0008-0000-0100-000033000000}"/>
                    </a:ext>
                  </a:extLst>
                </xdr:cNvPr>
                <xdr:cNvSpPr txBox="1"/>
              </xdr:nvSpPr>
              <xdr:spPr>
                <a:xfrm>
                  <a:off x="8302028" y="1630443"/>
                  <a:ext cx="2137372"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lIns="0" rtlCol="0" anchor="t">
                  <a:noAutofit/>
                </a:bodyPr>
                <a:lstStyle/>
                <a:p>
                  <a:r>
                    <a:rPr lang="en-US" sz="900" b="1">
                      <a:latin typeface="Arial" pitchFamily="34" charset="0"/>
                      <a:cs typeface="Arial" pitchFamily="34" charset="0"/>
                    </a:rPr>
                    <a:t>1. General</a:t>
                  </a:r>
                  <a:r>
                    <a:rPr lang="en-US" sz="900" b="1" baseline="0">
                      <a:latin typeface="Arial" pitchFamily="34" charset="0"/>
                      <a:cs typeface="Arial" pitchFamily="34" charset="0"/>
                    </a:rPr>
                    <a:t> Information</a:t>
                  </a:r>
                  <a:endParaRPr lang="en-US" sz="900" b="1">
                    <a:latin typeface="Arial" pitchFamily="34" charset="0"/>
                    <a:cs typeface="Arial" pitchFamily="34" charset="0"/>
                  </a:endParaRPr>
                </a:p>
              </xdr:txBody>
            </xdr:sp>
            <xdr:sp macro="" textlink="">
              <xdr:nvSpPr>
                <xdr:cNvPr id="52" name="TOC_HEADER_LABEL_1">
                  <a:extLst>
                    <a:ext uri="{FF2B5EF4-FFF2-40B4-BE49-F238E27FC236}">
                      <a16:creationId xmlns:a16="http://schemas.microsoft.com/office/drawing/2014/main" id="{00000000-0008-0000-0100-000034000000}"/>
                    </a:ext>
                  </a:extLst>
                </xdr:cNvPr>
                <xdr:cNvSpPr txBox="1"/>
              </xdr:nvSpPr>
              <xdr:spPr>
                <a:xfrm>
                  <a:off x="10988755" y="1630443"/>
                  <a:ext cx="876784"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r>
                    <a:rPr lang="en-US" sz="900" b="1">
                      <a:latin typeface="Arial" pitchFamily="34" charset="0"/>
                      <a:cs typeface="Arial" pitchFamily="34" charset="0"/>
                    </a:rPr>
                    <a:t>Progress</a:t>
                  </a:r>
                </a:p>
              </xdr:txBody>
            </xdr:sp>
            <xdr:sp macro="" textlink="">
              <xdr:nvSpPr>
                <xdr:cNvPr id="53" name="TOC_HEADER_LABEL_3">
                  <a:extLst>
                    <a:ext uri="{FF2B5EF4-FFF2-40B4-BE49-F238E27FC236}">
                      <a16:creationId xmlns:a16="http://schemas.microsoft.com/office/drawing/2014/main" id="{00000000-0008-0000-0100-000035000000}"/>
                    </a:ext>
                  </a:extLst>
                </xdr:cNvPr>
                <xdr:cNvSpPr txBox="1"/>
              </xdr:nvSpPr>
              <xdr:spPr>
                <a:xfrm>
                  <a:off x="11990098" y="1630443"/>
                  <a:ext cx="1226450"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lIns="0" rtlCol="0" anchor="t">
                  <a:noAutofit/>
                </a:bodyPr>
                <a:lstStyle/>
                <a:p>
                  <a:r>
                    <a:rPr lang="en-US" sz="900" b="1">
                      <a:latin typeface="Arial" pitchFamily="34" charset="0"/>
                      <a:cs typeface="Arial" pitchFamily="34" charset="0"/>
                    </a:rPr>
                    <a:t>2. Scoring</a:t>
                  </a:r>
                </a:p>
              </xdr:txBody>
            </xdr:sp>
            <xdr:sp macro="" textlink="">
              <xdr:nvSpPr>
                <xdr:cNvPr id="54" name="TOC_HEADER_LABEL_4">
                  <a:extLst>
                    <a:ext uri="{FF2B5EF4-FFF2-40B4-BE49-F238E27FC236}">
                      <a16:creationId xmlns:a16="http://schemas.microsoft.com/office/drawing/2014/main" id="{00000000-0008-0000-0100-000036000000}"/>
                    </a:ext>
                  </a:extLst>
                </xdr:cNvPr>
                <xdr:cNvSpPr txBox="1"/>
              </xdr:nvSpPr>
              <xdr:spPr>
                <a:xfrm>
                  <a:off x="14554212" y="1630443"/>
                  <a:ext cx="871248"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r>
                    <a:rPr lang="en-US" sz="900" b="1">
                      <a:latin typeface="Arial" pitchFamily="34" charset="0"/>
                      <a:cs typeface="Arial" pitchFamily="34" charset="0"/>
                    </a:rPr>
                    <a:t>Progress</a:t>
                  </a:r>
                </a:p>
              </xdr:txBody>
            </xdr:sp>
          </xdr:grpSp>
          <xdr:grpSp>
            <xdr:nvGrpSpPr>
              <xdr:cNvPr id="273" name="TOC_HORIZONTAL_DIVIDERS">
                <a:extLst>
                  <a:ext uri="{FF2B5EF4-FFF2-40B4-BE49-F238E27FC236}">
                    <a16:creationId xmlns:a16="http://schemas.microsoft.com/office/drawing/2014/main" id="{00000000-0008-0000-0100-000011010000}"/>
                  </a:ext>
                </a:extLst>
              </xdr:cNvPr>
              <xdr:cNvGrpSpPr/>
            </xdr:nvGrpSpPr>
            <xdr:grpSpPr>
              <a:xfrm>
                <a:off x="8191498" y="2152468"/>
                <a:ext cx="7362825" cy="1410228"/>
                <a:chOff x="8191498" y="2152468"/>
                <a:chExt cx="7362825" cy="1410228"/>
              </a:xfrm>
            </xdr:grpSpPr>
            <xdr:cxnSp macro="">
              <xdr:nvCxnSpPr>
                <xdr:cNvPr id="207" name="DOTTED_LINE">
                  <a:extLst>
                    <a:ext uri="{FF2B5EF4-FFF2-40B4-BE49-F238E27FC236}">
                      <a16:creationId xmlns:a16="http://schemas.microsoft.com/office/drawing/2014/main" id="{00000000-0008-0000-0100-0000CF000000}"/>
                    </a:ext>
                  </a:extLst>
                </xdr:cNvPr>
                <xdr:cNvCxnSpPr/>
              </xdr:nvCxnSpPr>
              <xdr:spPr>
                <a:xfrm flipH="1">
                  <a:off x="8191498" y="2152468"/>
                  <a:ext cx="7362825"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cxnSp macro="">
              <xdr:nvCxnSpPr>
                <xdr:cNvPr id="239" name="DOTTED_LINE">
                  <a:extLst>
                    <a:ext uri="{FF2B5EF4-FFF2-40B4-BE49-F238E27FC236}">
                      <a16:creationId xmlns:a16="http://schemas.microsoft.com/office/drawing/2014/main" id="{00000000-0008-0000-0100-0000EF000000}"/>
                    </a:ext>
                  </a:extLst>
                </xdr:cNvPr>
                <xdr:cNvCxnSpPr/>
              </xdr:nvCxnSpPr>
              <xdr:spPr>
                <a:xfrm flipH="1">
                  <a:off x="8191498" y="2428693"/>
                  <a:ext cx="7360920"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cxnSp macro="">
              <xdr:nvCxnSpPr>
                <xdr:cNvPr id="240" name="DOTTED_LINE">
                  <a:extLst>
                    <a:ext uri="{FF2B5EF4-FFF2-40B4-BE49-F238E27FC236}">
                      <a16:creationId xmlns:a16="http://schemas.microsoft.com/office/drawing/2014/main" id="{00000000-0008-0000-0100-0000F0000000}"/>
                    </a:ext>
                  </a:extLst>
                </xdr:cNvPr>
                <xdr:cNvCxnSpPr/>
              </xdr:nvCxnSpPr>
              <xdr:spPr>
                <a:xfrm flipH="1">
                  <a:off x="8191498" y="2714625"/>
                  <a:ext cx="7360920"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cxnSp macro="">
              <xdr:nvCxnSpPr>
                <xdr:cNvPr id="246" name="DOTTED_LINE">
                  <a:extLst>
                    <a:ext uri="{FF2B5EF4-FFF2-40B4-BE49-F238E27FC236}">
                      <a16:creationId xmlns:a16="http://schemas.microsoft.com/office/drawing/2014/main" id="{00000000-0008-0000-0100-0000F6000000}"/>
                    </a:ext>
                  </a:extLst>
                </xdr:cNvPr>
                <xdr:cNvCxnSpPr/>
              </xdr:nvCxnSpPr>
              <xdr:spPr>
                <a:xfrm flipH="1">
                  <a:off x="8191498" y="3000566"/>
                  <a:ext cx="7360920"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cxnSp macro="">
              <xdr:nvCxnSpPr>
                <xdr:cNvPr id="250" name="DOTTED_LINE">
                  <a:extLst>
                    <a:ext uri="{FF2B5EF4-FFF2-40B4-BE49-F238E27FC236}">
                      <a16:creationId xmlns:a16="http://schemas.microsoft.com/office/drawing/2014/main" id="{00000000-0008-0000-0100-0000FA000000}"/>
                    </a:ext>
                  </a:extLst>
                </xdr:cNvPr>
                <xdr:cNvCxnSpPr/>
              </xdr:nvCxnSpPr>
              <xdr:spPr>
                <a:xfrm flipH="1">
                  <a:off x="8191498" y="3276782"/>
                  <a:ext cx="7360920"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cxnSp macro="">
              <xdr:nvCxnSpPr>
                <xdr:cNvPr id="257" name="DOTTED_LINE">
                  <a:extLst>
                    <a:ext uri="{FF2B5EF4-FFF2-40B4-BE49-F238E27FC236}">
                      <a16:creationId xmlns:a16="http://schemas.microsoft.com/office/drawing/2014/main" id="{00000000-0008-0000-0100-000001010000}"/>
                    </a:ext>
                  </a:extLst>
                </xdr:cNvPr>
                <xdr:cNvCxnSpPr/>
              </xdr:nvCxnSpPr>
              <xdr:spPr>
                <a:xfrm flipH="1">
                  <a:off x="11858623" y="3562696"/>
                  <a:ext cx="3686177"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grpSp>
        </xdr:grpSp>
        <xdr:cxnSp macro="">
          <xdr:nvCxnSpPr>
            <xdr:cNvPr id="343" name="DOTTED_LINE">
              <a:extLst>
                <a:ext uri="{FF2B5EF4-FFF2-40B4-BE49-F238E27FC236}">
                  <a16:creationId xmlns:a16="http://schemas.microsoft.com/office/drawing/2014/main" id="{00000000-0008-0000-0100-000057010000}"/>
                </a:ext>
              </a:extLst>
            </xdr:cNvPr>
            <xdr:cNvCxnSpPr/>
          </xdr:nvCxnSpPr>
          <xdr:spPr>
            <a:xfrm flipH="1" flipV="1">
              <a:off x="7639049" y="5162195"/>
              <a:ext cx="7381876" cy="355"/>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cxnSp macro="">
          <xdr:nvCxnSpPr>
            <xdr:cNvPr id="342" name="DOTTED_LINE">
              <a:extLst>
                <a:ext uri="{FF2B5EF4-FFF2-40B4-BE49-F238E27FC236}">
                  <a16:creationId xmlns:a16="http://schemas.microsoft.com/office/drawing/2014/main" id="{00000000-0008-0000-0100-000056010000}"/>
                </a:ext>
              </a:extLst>
            </xdr:cNvPr>
            <xdr:cNvCxnSpPr/>
          </xdr:nvCxnSpPr>
          <xdr:spPr>
            <a:xfrm flipH="1" flipV="1">
              <a:off x="7639049" y="4885970"/>
              <a:ext cx="7381876" cy="355"/>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cxnSp macro="">
          <xdr:nvCxnSpPr>
            <xdr:cNvPr id="439" name="DOTTED_LINE">
              <a:extLst>
                <a:ext uri="{FF2B5EF4-FFF2-40B4-BE49-F238E27FC236}">
                  <a16:creationId xmlns:a16="http://schemas.microsoft.com/office/drawing/2014/main" id="{00000000-0008-0000-0100-0000B7010000}"/>
                </a:ext>
              </a:extLst>
            </xdr:cNvPr>
            <xdr:cNvCxnSpPr/>
          </xdr:nvCxnSpPr>
          <xdr:spPr>
            <a:xfrm flipH="1" flipV="1">
              <a:off x="7648574" y="4609745"/>
              <a:ext cx="7381876" cy="355"/>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cxnSp macro="">
          <xdr:nvCxnSpPr>
            <xdr:cNvPr id="440" name="DOTTED_LINE">
              <a:extLst>
                <a:ext uri="{FF2B5EF4-FFF2-40B4-BE49-F238E27FC236}">
                  <a16:creationId xmlns:a16="http://schemas.microsoft.com/office/drawing/2014/main" id="{00000000-0008-0000-0100-0000B8010000}"/>
                </a:ext>
              </a:extLst>
            </xdr:cNvPr>
            <xdr:cNvCxnSpPr/>
          </xdr:nvCxnSpPr>
          <xdr:spPr>
            <a:xfrm flipH="1" flipV="1">
              <a:off x="7648574" y="4333520"/>
              <a:ext cx="7381876" cy="355"/>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grpSp>
      <xdr:cxnSp macro="">
        <xdr:nvCxnSpPr>
          <xdr:cNvPr id="466" name="DOTTED_LINE">
            <a:extLst>
              <a:ext uri="{FF2B5EF4-FFF2-40B4-BE49-F238E27FC236}">
                <a16:creationId xmlns:a16="http://schemas.microsoft.com/office/drawing/2014/main" id="{00000000-0008-0000-0100-0000D2010000}"/>
              </a:ext>
            </a:extLst>
          </xdr:cNvPr>
          <xdr:cNvCxnSpPr/>
        </xdr:nvCxnSpPr>
        <xdr:spPr>
          <a:xfrm flipH="1" flipV="1">
            <a:off x="8201025" y="5495925"/>
            <a:ext cx="7360920" cy="355"/>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cxnSp macro="">
        <xdr:nvCxnSpPr>
          <xdr:cNvPr id="467" name="DOTTED_LINE">
            <a:extLst>
              <a:ext uri="{FF2B5EF4-FFF2-40B4-BE49-F238E27FC236}">
                <a16:creationId xmlns:a16="http://schemas.microsoft.com/office/drawing/2014/main" id="{00000000-0008-0000-0100-0000D3010000}"/>
              </a:ext>
            </a:extLst>
          </xdr:cNvPr>
          <xdr:cNvCxnSpPr/>
        </xdr:nvCxnSpPr>
        <xdr:spPr>
          <a:xfrm flipH="1" flipV="1">
            <a:off x="8201025" y="5772150"/>
            <a:ext cx="7360920" cy="355"/>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grpSp>
    <xdr:clientData fPrintsWithSheet="0"/>
  </xdr:twoCellAnchor>
  <xdr:oneCellAnchor>
    <xdr:from>
      <xdr:col>16</xdr:col>
      <xdr:colOff>314325</xdr:colOff>
      <xdr:row>23</xdr:row>
      <xdr:rowOff>9525</xdr:rowOff>
    </xdr:from>
    <xdr:ext cx="2181225" cy="264560"/>
    <xdr:sp macro="" textlink="$AC$24">
      <xdr:nvSpPr>
        <xdr:cNvPr id="468" name="TOC_SECTION_LINK">
          <a:hlinkClick xmlns:r="http://schemas.openxmlformats.org/officeDocument/2006/relationships" r:id="rId27"/>
          <a:extLst>
            <a:ext uri="{FF2B5EF4-FFF2-40B4-BE49-F238E27FC236}">
              <a16:creationId xmlns:a16="http://schemas.microsoft.com/office/drawing/2014/main" id="{00000000-0008-0000-0100-0000D4010000}"/>
            </a:ext>
          </a:extLst>
        </xdr:cNvPr>
        <xdr:cNvSpPr txBox="1"/>
      </xdr:nvSpPr>
      <xdr:spPr>
        <a:xfrm>
          <a:off x="12182475" y="5229225"/>
          <a:ext cx="2181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CEA2E5B8-CECE-4450-AA31-2D435AF687AB}" type="TxLink">
            <a:rPr lang="en-US" sz="900" b="1" i="0" u="sng" strike="noStrike">
              <a:solidFill>
                <a:srgbClr val="366092"/>
              </a:solidFill>
              <a:latin typeface="Arial"/>
              <a:cs typeface="Arial"/>
            </a:rPr>
            <a:pPr algn="l"/>
            <a:t>Subsidy per Unit</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twoCellAnchor>
    <xdr:from>
      <xdr:col>13</xdr:col>
      <xdr:colOff>104775</xdr:colOff>
      <xdr:row>933</xdr:row>
      <xdr:rowOff>142875</xdr:rowOff>
    </xdr:from>
    <xdr:to>
      <xdr:col>21</xdr:col>
      <xdr:colOff>95250</xdr:colOff>
      <xdr:row>933</xdr:row>
      <xdr:rowOff>142875</xdr:rowOff>
    </xdr:to>
    <xdr:cxnSp macro="">
      <xdr:nvCxnSpPr>
        <xdr:cNvPr id="469" name="DOTTED_LINE">
          <a:extLst>
            <a:ext uri="{FF2B5EF4-FFF2-40B4-BE49-F238E27FC236}">
              <a16:creationId xmlns:a16="http://schemas.microsoft.com/office/drawing/2014/main" id="{00000000-0008-0000-0100-0000D5010000}"/>
            </a:ext>
          </a:extLst>
        </xdr:cNvPr>
        <xdr:cNvCxnSpPr/>
      </xdr:nvCxnSpPr>
      <xdr:spPr>
        <a:xfrm>
          <a:off x="10896600" y="279044400"/>
          <a:ext cx="35718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409575</xdr:colOff>
      <xdr:row>935</xdr:row>
      <xdr:rowOff>152400</xdr:rowOff>
    </xdr:from>
    <xdr:to>
      <xdr:col>19</xdr:col>
      <xdr:colOff>66675</xdr:colOff>
      <xdr:row>935</xdr:row>
      <xdr:rowOff>152400</xdr:rowOff>
    </xdr:to>
    <xdr:cxnSp macro="">
      <xdr:nvCxnSpPr>
        <xdr:cNvPr id="470" name="DOTTED_LINE">
          <a:extLst>
            <a:ext uri="{FF2B5EF4-FFF2-40B4-BE49-F238E27FC236}">
              <a16:creationId xmlns:a16="http://schemas.microsoft.com/office/drawing/2014/main" id="{00000000-0008-0000-0100-0000D6010000}"/>
            </a:ext>
          </a:extLst>
        </xdr:cNvPr>
        <xdr:cNvCxnSpPr/>
      </xdr:nvCxnSpPr>
      <xdr:spPr>
        <a:xfrm>
          <a:off x="9591675" y="279330150"/>
          <a:ext cx="39528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123825</xdr:colOff>
      <xdr:row>937</xdr:row>
      <xdr:rowOff>152400</xdr:rowOff>
    </xdr:from>
    <xdr:to>
      <xdr:col>19</xdr:col>
      <xdr:colOff>76200</xdr:colOff>
      <xdr:row>937</xdr:row>
      <xdr:rowOff>152400</xdr:rowOff>
    </xdr:to>
    <xdr:cxnSp macro="">
      <xdr:nvCxnSpPr>
        <xdr:cNvPr id="472" name="DOTTED_LINE">
          <a:extLst>
            <a:ext uri="{FF2B5EF4-FFF2-40B4-BE49-F238E27FC236}">
              <a16:creationId xmlns:a16="http://schemas.microsoft.com/office/drawing/2014/main" id="{00000000-0008-0000-0100-0000D8010000}"/>
            </a:ext>
          </a:extLst>
        </xdr:cNvPr>
        <xdr:cNvCxnSpPr/>
      </xdr:nvCxnSpPr>
      <xdr:spPr>
        <a:xfrm>
          <a:off x="10020300" y="279606375"/>
          <a:ext cx="35337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66675</xdr:colOff>
      <xdr:row>928</xdr:row>
      <xdr:rowOff>247770</xdr:rowOff>
    </xdr:from>
    <xdr:to>
      <xdr:col>24</xdr:col>
      <xdr:colOff>114300</xdr:colOff>
      <xdr:row>938</xdr:row>
      <xdr:rowOff>114335</xdr:rowOff>
    </xdr:to>
    <xdr:grpSp>
      <xdr:nvGrpSpPr>
        <xdr:cNvPr id="473" name="Group 472">
          <a:extLst>
            <a:ext uri="{FF2B5EF4-FFF2-40B4-BE49-F238E27FC236}">
              <a16:creationId xmlns:a16="http://schemas.microsoft.com/office/drawing/2014/main" id="{00000000-0008-0000-0100-0000D9010000}"/>
            </a:ext>
          </a:extLst>
        </xdr:cNvPr>
        <xdr:cNvGrpSpPr/>
      </xdr:nvGrpSpPr>
      <xdr:grpSpPr>
        <a:xfrm>
          <a:off x="66675" y="277768170"/>
          <a:ext cx="7372350" cy="2628815"/>
          <a:chOff x="8191500" y="217274771"/>
          <a:chExt cx="7372350" cy="2692418"/>
        </a:xfrm>
      </xdr:grpSpPr>
      <xdr:grpSp>
        <xdr:nvGrpSpPr>
          <xdr:cNvPr id="474" name="SECTION_GROUP">
            <a:extLst>
              <a:ext uri="{FF2B5EF4-FFF2-40B4-BE49-F238E27FC236}">
                <a16:creationId xmlns:a16="http://schemas.microsoft.com/office/drawing/2014/main" id="{00000000-0008-0000-0100-0000DA010000}"/>
              </a:ext>
            </a:extLst>
          </xdr:cNvPr>
          <xdr:cNvGrpSpPr/>
        </xdr:nvGrpSpPr>
        <xdr:grpSpPr>
          <a:xfrm>
            <a:off x="8191500" y="217274771"/>
            <a:ext cx="7362824" cy="2692418"/>
            <a:chOff x="9363075" y="17306808"/>
            <a:chExt cx="7362825" cy="2898182"/>
          </a:xfrm>
        </xdr:grpSpPr>
        <xdr:sp macro="" textlink="$B$568">
          <xdr:nvSpPr>
            <xdr:cNvPr id="476" name="SECTION_GROUP_TITLE">
              <a:extLst>
                <a:ext uri="{FF2B5EF4-FFF2-40B4-BE49-F238E27FC236}">
                  <a16:creationId xmlns:a16="http://schemas.microsoft.com/office/drawing/2014/main" id="{00000000-0008-0000-0100-0000DC010000}"/>
                </a:ext>
              </a:extLst>
            </xdr:cNvPr>
            <xdr:cNvSpPr/>
          </xdr:nvSpPr>
          <xdr:spPr>
            <a:xfrm>
              <a:off x="9363075" y="17306808"/>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276AA537-D1B1-479C-93D3-1D6E6BBB3F6A}" type="TxLink">
                <a:rPr lang="en-US" sz="1000" b="1" i="0" u="none" strike="noStrike">
                  <a:solidFill>
                    <a:srgbClr val="FFFFFF"/>
                  </a:solidFill>
                  <a:latin typeface="Arial"/>
                  <a:cs typeface="Arial"/>
                </a:rPr>
                <a:pPr algn="l"/>
                <a:t>Subsidy per Unit (Maximum Points: 12)</a:t>
              </a:fld>
              <a:endParaRPr lang="en-US" sz="800" b="1" i="0" u="none" strike="noStrike">
                <a:solidFill>
                  <a:schemeClr val="bg1"/>
                </a:solidFill>
                <a:latin typeface="Arial" pitchFamily="34" charset="0"/>
                <a:cs typeface="Arial" pitchFamily="34" charset="0"/>
              </a:endParaRPr>
            </a:p>
          </xdr:txBody>
        </xdr:sp>
        <xdr:sp macro="" textlink="">
          <xdr:nvSpPr>
            <xdr:cNvPr id="477" name="SECTION_GROUP_FRAME">
              <a:extLst>
                <a:ext uri="{FF2B5EF4-FFF2-40B4-BE49-F238E27FC236}">
                  <a16:creationId xmlns:a16="http://schemas.microsoft.com/office/drawing/2014/main" id="{00000000-0008-0000-0100-0000DD010000}"/>
                </a:ext>
              </a:extLst>
            </xdr:cNvPr>
            <xdr:cNvSpPr/>
          </xdr:nvSpPr>
          <xdr:spPr>
            <a:xfrm>
              <a:off x="9363075" y="17641466"/>
              <a:ext cx="7362825" cy="2563524"/>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577">
          <xdr:nvSpPr>
            <xdr:cNvPr id="478" name="SECTION_GROUP_SUBTITLE">
              <a:extLst>
                <a:ext uri="{FF2B5EF4-FFF2-40B4-BE49-F238E27FC236}">
                  <a16:creationId xmlns:a16="http://schemas.microsoft.com/office/drawing/2014/main" id="{00000000-0008-0000-0100-0000DE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DFF035E9-F9AD-412D-97C1-B48291CBB36C}" type="TxLink">
                <a:rPr lang="en-US" sz="800" b="0" i="0" u="none" strike="noStrike">
                  <a:solidFill>
                    <a:srgbClr val="000000"/>
                  </a:solidFill>
                  <a:latin typeface="Arial"/>
                  <a:cs typeface="Arial"/>
                </a:rPr>
                <a:pPr algn="r"/>
                <a:t>Not Started</a:t>
              </a:fld>
              <a:endParaRPr lang="en-US" sz="1050" b="0" i="0">
                <a:latin typeface="Arial" pitchFamily="34" charset="0"/>
                <a:cs typeface="Arial" pitchFamily="34" charset="0"/>
              </a:endParaRPr>
            </a:p>
          </xdr:txBody>
        </xdr:sp>
        <xdr:sp macro="" textlink="">
          <xdr:nvSpPr>
            <xdr:cNvPr id="479" name="SECTION_GROUP_SUBTITLE_LABEL">
              <a:extLst>
                <a:ext uri="{FF2B5EF4-FFF2-40B4-BE49-F238E27FC236}">
                  <a16:creationId xmlns:a16="http://schemas.microsoft.com/office/drawing/2014/main" id="{00000000-0008-0000-0100-0000DF010000}"/>
                </a:ext>
              </a:extLst>
            </xdr:cNvPr>
            <xdr:cNvSpPr txBox="1"/>
          </xdr:nvSpPr>
          <xdr:spPr>
            <a:xfrm>
              <a:off x="15649576"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sp macro="" textlink="">
        <xdr:nvSpPr>
          <xdr:cNvPr id="475" name="LINK_RENTAL_TOC">
            <a:hlinkClick xmlns:r="http://schemas.openxmlformats.org/officeDocument/2006/relationships" r:id="rId16"/>
            <a:extLst>
              <a:ext uri="{FF2B5EF4-FFF2-40B4-BE49-F238E27FC236}">
                <a16:creationId xmlns:a16="http://schemas.microsoft.com/office/drawing/2014/main" id="{00000000-0008-0000-0100-0000DB010000}"/>
              </a:ext>
            </a:extLst>
          </xdr:cNvPr>
          <xdr:cNvSpPr/>
        </xdr:nvSpPr>
        <xdr:spPr>
          <a:xfrm>
            <a:off x="14535150" y="217284300"/>
            <a:ext cx="1028700" cy="30480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grpSp>
    <xdr:clientData fPrintsWithSheet="0"/>
  </xdr:twoCellAnchor>
  <xdr:oneCellAnchor>
    <xdr:from>
      <xdr:col>16</xdr:col>
      <xdr:colOff>314325</xdr:colOff>
      <xdr:row>24</xdr:row>
      <xdr:rowOff>9525</xdr:rowOff>
    </xdr:from>
    <xdr:ext cx="3248025" cy="264560"/>
    <xdr:sp macro="" textlink="$AC$25">
      <xdr:nvSpPr>
        <xdr:cNvPr id="420" name="TOC_SECTION_LINK">
          <a:hlinkClick xmlns:r="http://schemas.openxmlformats.org/officeDocument/2006/relationships" r:id="rId28"/>
          <a:extLst>
            <a:ext uri="{FF2B5EF4-FFF2-40B4-BE49-F238E27FC236}">
              <a16:creationId xmlns:a16="http://schemas.microsoft.com/office/drawing/2014/main" id="{00000000-0008-0000-0100-0000A4010000}"/>
            </a:ext>
          </a:extLst>
        </xdr:cNvPr>
        <xdr:cNvSpPr txBox="1"/>
      </xdr:nvSpPr>
      <xdr:spPr>
        <a:xfrm>
          <a:off x="12182475" y="5781675"/>
          <a:ext cx="32480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F608C02C-C4A1-4CA9-9188-0128D19440CA}" type="TxLink">
            <a:rPr lang="en-US" sz="900" b="1" i="0" u="sng" strike="noStrike">
              <a:solidFill>
                <a:srgbClr val="366092"/>
              </a:solidFill>
              <a:latin typeface="Arial"/>
              <a:cs typeface="Arial"/>
            </a:rPr>
            <a:pPr algn="l"/>
            <a:t>Score Summary (Estimated Final Score: 0.00)</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twoCellAnchor editAs="oneCell">
    <xdr:from>
      <xdr:col>7</xdr:col>
      <xdr:colOff>66675</xdr:colOff>
      <xdr:row>938</xdr:row>
      <xdr:rowOff>257278</xdr:rowOff>
    </xdr:from>
    <xdr:to>
      <xdr:col>24</xdr:col>
      <xdr:colOff>114300</xdr:colOff>
      <xdr:row>957</xdr:row>
      <xdr:rowOff>85717</xdr:rowOff>
    </xdr:to>
    <xdr:grpSp>
      <xdr:nvGrpSpPr>
        <xdr:cNvPr id="465" name="Group 464">
          <a:extLst>
            <a:ext uri="{FF2B5EF4-FFF2-40B4-BE49-F238E27FC236}">
              <a16:creationId xmlns:a16="http://schemas.microsoft.com/office/drawing/2014/main" id="{00000000-0008-0000-0100-0000D1010000}"/>
            </a:ext>
          </a:extLst>
        </xdr:cNvPr>
        <xdr:cNvGrpSpPr/>
      </xdr:nvGrpSpPr>
      <xdr:grpSpPr>
        <a:xfrm>
          <a:off x="66675" y="280539928"/>
          <a:ext cx="7372350" cy="5133864"/>
          <a:chOff x="8191500" y="217274773"/>
          <a:chExt cx="7372350" cy="5258076"/>
        </a:xfrm>
      </xdr:grpSpPr>
      <xdr:grpSp>
        <xdr:nvGrpSpPr>
          <xdr:cNvPr id="480" name="SECTION_GROUP">
            <a:extLst>
              <a:ext uri="{FF2B5EF4-FFF2-40B4-BE49-F238E27FC236}">
                <a16:creationId xmlns:a16="http://schemas.microsoft.com/office/drawing/2014/main" id="{00000000-0008-0000-0100-0000E0010000}"/>
              </a:ext>
            </a:extLst>
          </xdr:cNvPr>
          <xdr:cNvGrpSpPr/>
        </xdr:nvGrpSpPr>
        <xdr:grpSpPr>
          <a:xfrm>
            <a:off x="8191500" y="217274773"/>
            <a:ext cx="7362824" cy="5258076"/>
            <a:chOff x="9363075" y="17306808"/>
            <a:chExt cx="7362825" cy="5659916"/>
          </a:xfrm>
        </xdr:grpSpPr>
        <xdr:sp macro="" textlink="$B$586">
          <xdr:nvSpPr>
            <xdr:cNvPr id="482" name="SECTION_GROUP_TITLE">
              <a:extLst>
                <a:ext uri="{FF2B5EF4-FFF2-40B4-BE49-F238E27FC236}">
                  <a16:creationId xmlns:a16="http://schemas.microsoft.com/office/drawing/2014/main" id="{00000000-0008-0000-0100-0000E2010000}"/>
                </a:ext>
              </a:extLst>
            </xdr:cNvPr>
            <xdr:cNvSpPr/>
          </xdr:nvSpPr>
          <xdr:spPr>
            <a:xfrm>
              <a:off x="9363075" y="17306808"/>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23527971-C57B-4D96-B35E-C8AF6922F0A8}" type="TxLink">
                <a:rPr lang="en-US" sz="1100" b="1" i="0" u="none" strike="noStrike">
                  <a:solidFill>
                    <a:srgbClr val="FFFFFF"/>
                  </a:solidFill>
                  <a:latin typeface="Arial"/>
                  <a:cs typeface="Arial"/>
                </a:rPr>
                <a:pPr algn="l"/>
                <a:t>Score Summary</a:t>
              </a:fld>
              <a:endParaRPr lang="en-US" sz="800" b="1" i="0" u="none" strike="noStrike">
                <a:solidFill>
                  <a:schemeClr val="bg1"/>
                </a:solidFill>
                <a:latin typeface="Arial" pitchFamily="34" charset="0"/>
                <a:cs typeface="Arial" pitchFamily="34" charset="0"/>
              </a:endParaRPr>
            </a:p>
          </xdr:txBody>
        </xdr:sp>
        <xdr:sp macro="" textlink="">
          <xdr:nvSpPr>
            <xdr:cNvPr id="483" name="SECTION_GROUP_FRAME">
              <a:extLst>
                <a:ext uri="{FF2B5EF4-FFF2-40B4-BE49-F238E27FC236}">
                  <a16:creationId xmlns:a16="http://schemas.microsoft.com/office/drawing/2014/main" id="{00000000-0008-0000-0100-0000E3010000}"/>
                </a:ext>
              </a:extLst>
            </xdr:cNvPr>
            <xdr:cNvSpPr/>
          </xdr:nvSpPr>
          <xdr:spPr>
            <a:xfrm>
              <a:off x="9363075" y="17641466"/>
              <a:ext cx="7362825" cy="5325258"/>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
          <xdr:nvSpPr>
            <xdr:cNvPr id="484" name="SECTION_GROUP_SUBTITLE">
              <a:extLst>
                <a:ext uri="{FF2B5EF4-FFF2-40B4-BE49-F238E27FC236}">
                  <a16:creationId xmlns:a16="http://schemas.microsoft.com/office/drawing/2014/main" id="{00000000-0008-0000-0100-0000E4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endParaRPr lang="en-US" b="0" i="0"/>
            </a:p>
          </xdr:txBody>
        </xdr:sp>
      </xdr:grpSp>
      <xdr:sp macro="" textlink="">
        <xdr:nvSpPr>
          <xdr:cNvPr id="481" name="LINK_RENTAL_TOC">
            <a:hlinkClick xmlns:r="http://schemas.openxmlformats.org/officeDocument/2006/relationships" r:id="rId16"/>
            <a:extLst>
              <a:ext uri="{FF2B5EF4-FFF2-40B4-BE49-F238E27FC236}">
                <a16:creationId xmlns:a16="http://schemas.microsoft.com/office/drawing/2014/main" id="{00000000-0008-0000-0100-0000E1010000}"/>
              </a:ext>
            </a:extLst>
          </xdr:cNvPr>
          <xdr:cNvSpPr/>
        </xdr:nvSpPr>
        <xdr:spPr>
          <a:xfrm>
            <a:off x="14535150" y="217284300"/>
            <a:ext cx="1028700" cy="30480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grpSp>
    <xdr:clientData fPrintsWithSheet="0"/>
  </xdr:twoCellAnchor>
  <xdr:twoCellAnchor>
    <xdr:from>
      <xdr:col>7</xdr:col>
      <xdr:colOff>66675</xdr:colOff>
      <xdr:row>476</xdr:row>
      <xdr:rowOff>238124</xdr:rowOff>
    </xdr:from>
    <xdr:to>
      <xdr:col>24</xdr:col>
      <xdr:colOff>104774</xdr:colOff>
      <xdr:row>498</xdr:row>
      <xdr:rowOff>104777</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66675" y="145894424"/>
          <a:ext cx="7362824" cy="5943603"/>
          <a:chOff x="66675" y="145618199"/>
          <a:chExt cx="7362824" cy="5667378"/>
        </a:xfrm>
      </xdr:grpSpPr>
      <xdr:sp macro="" textlink="$I$479">
        <xdr:nvSpPr>
          <xdr:cNvPr id="427" name="SECTION_GROUP_SUBTITLE">
            <a:extLst>
              <a:ext uri="{FF2B5EF4-FFF2-40B4-BE49-F238E27FC236}">
                <a16:creationId xmlns:a16="http://schemas.microsoft.com/office/drawing/2014/main" id="{00000000-0008-0000-0100-0000AB010000}"/>
              </a:ext>
            </a:extLst>
          </xdr:cNvPr>
          <xdr:cNvSpPr/>
        </xdr:nvSpPr>
        <xdr:spPr>
          <a:xfrm>
            <a:off x="66675" y="146218272"/>
            <a:ext cx="7351775" cy="475488"/>
          </a:xfrm>
          <a:prstGeom prst="rect">
            <a:avLst/>
          </a:prstGeom>
          <a:solidFill>
            <a:schemeClr val="accent3">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91440" rtlCol="0" anchor="ctr"/>
          <a:lstStyle/>
          <a:p>
            <a:pPr algn="l"/>
            <a:fld id="{6813A671-E220-4541-9F7F-9B77630978FC}" type="TxLink">
              <a:rPr lang="en-US" sz="900" b="1" i="0" u="none" strike="noStrike">
                <a:solidFill>
                  <a:srgbClr val="000000"/>
                </a:solidFill>
                <a:latin typeface="Arial" pitchFamily="34" charset="0"/>
                <a:cs typeface="Arial" pitchFamily="34" charset="0"/>
              </a:rPr>
              <a:pPr algn="l"/>
              <a:t>Unit income targeting information provided in this section must match the unit income targeting information on the financial worksheets.</a:t>
            </a:fld>
            <a:endParaRPr lang="en-US" sz="900" b="1" i="0">
              <a:latin typeface="Arial" pitchFamily="34" charset="0"/>
              <a:cs typeface="Arial" pitchFamily="34" charset="0"/>
            </a:endParaRPr>
          </a:p>
        </xdr:txBody>
      </xdr:sp>
      <xdr:grpSp>
        <xdr:nvGrpSpPr>
          <xdr:cNvPr id="415" name="SECTION_GROUP">
            <a:extLst>
              <a:ext uri="{FF2B5EF4-FFF2-40B4-BE49-F238E27FC236}">
                <a16:creationId xmlns:a16="http://schemas.microsoft.com/office/drawing/2014/main" id="{00000000-0008-0000-0100-00009F010000}"/>
              </a:ext>
            </a:extLst>
          </xdr:cNvPr>
          <xdr:cNvGrpSpPr/>
        </xdr:nvGrpSpPr>
        <xdr:grpSpPr>
          <a:xfrm>
            <a:off x="66675" y="145618199"/>
            <a:ext cx="7362824" cy="5667378"/>
            <a:chOff x="9363075" y="17258403"/>
            <a:chExt cx="7362825" cy="7199955"/>
          </a:xfrm>
        </xdr:grpSpPr>
        <xdr:sp macro="" textlink="">
          <xdr:nvSpPr>
            <xdr:cNvPr id="416" name="SECTION_GROUP_FRAME">
              <a:extLst>
                <a:ext uri="{FF2B5EF4-FFF2-40B4-BE49-F238E27FC236}">
                  <a16:creationId xmlns:a16="http://schemas.microsoft.com/office/drawing/2014/main" id="{00000000-0008-0000-0100-0000A0010000}"/>
                </a:ext>
              </a:extLst>
            </xdr:cNvPr>
            <xdr:cNvSpPr/>
          </xdr:nvSpPr>
          <xdr:spPr>
            <a:xfrm>
              <a:off x="9363075" y="17641467"/>
              <a:ext cx="7362825" cy="6816891"/>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264">
          <xdr:nvSpPr>
            <xdr:cNvPr id="417" name="SECTION_GROUP_TITLE">
              <a:extLst>
                <a:ext uri="{FF2B5EF4-FFF2-40B4-BE49-F238E27FC236}">
                  <a16:creationId xmlns:a16="http://schemas.microsoft.com/office/drawing/2014/main" id="{00000000-0008-0000-0100-0000A1010000}"/>
                </a:ext>
              </a:extLst>
            </xdr:cNvPr>
            <xdr:cNvSpPr/>
          </xdr:nvSpPr>
          <xdr:spPr>
            <a:xfrm>
              <a:off x="9363075" y="17258403"/>
              <a:ext cx="7360920" cy="394969"/>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91FB2C55-7FD5-4387-9F83-36EE143ABBB6}" type="TxLink">
                <a:rPr lang="en-US" sz="1000" b="1" i="0" u="none" strike="noStrike">
                  <a:solidFill>
                    <a:srgbClr val="FFFFFF"/>
                  </a:solidFill>
                  <a:latin typeface="Arial" pitchFamily="34" charset="0"/>
                  <a:cs typeface="Arial" pitchFamily="34" charset="0"/>
                </a:rPr>
                <a:pPr algn="l"/>
                <a:t>Targeting to Lower-Income Households (Maximum Points: 20)</a:t>
              </a:fld>
              <a:endParaRPr lang="en-US" sz="1000" b="1" i="0" u="none" strike="noStrike">
                <a:solidFill>
                  <a:schemeClr val="bg1"/>
                </a:solidFill>
                <a:latin typeface="Arial" pitchFamily="34" charset="0"/>
                <a:cs typeface="Arial" pitchFamily="34" charset="0"/>
              </a:endParaRPr>
            </a:p>
          </xdr:txBody>
        </xdr:sp>
        <xdr:sp macro="" textlink="$B$299">
          <xdr:nvSpPr>
            <xdr:cNvPr id="418" name="SECTION_GROUP_SUBTITLE">
              <a:extLst>
                <a:ext uri="{FF2B5EF4-FFF2-40B4-BE49-F238E27FC236}">
                  <a16:creationId xmlns:a16="http://schemas.microsoft.com/office/drawing/2014/main" id="{00000000-0008-0000-0100-0000A2010000}"/>
                </a:ext>
              </a:extLst>
            </xdr:cNvPr>
            <xdr:cNvSpPr/>
          </xdr:nvSpPr>
          <xdr:spPr>
            <a:xfrm>
              <a:off x="9372598" y="17675184"/>
              <a:ext cx="7351776" cy="348502"/>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5E1D8D73-10B0-44C2-BCE0-01CD69C2B4F9}" type="TxLink">
                <a:rPr lang="en-US" sz="800" b="0" i="0" u="none" strike="noStrike">
                  <a:solidFill>
                    <a:srgbClr val="000000"/>
                  </a:solidFill>
                  <a:latin typeface="Arial" pitchFamily="34" charset="0"/>
                  <a:cs typeface="Arial" pitchFamily="34" charset="0"/>
                </a:rPr>
                <a:pPr algn="r"/>
                <a:t>Not Started</a:t>
              </a:fld>
              <a:endParaRPr lang="en-US" sz="1050" b="0" i="0">
                <a:latin typeface="Arial" pitchFamily="34" charset="0"/>
                <a:cs typeface="Arial" pitchFamily="34" charset="0"/>
              </a:endParaRPr>
            </a:p>
          </xdr:txBody>
        </xdr:sp>
        <xdr:sp macro="" textlink="">
          <xdr:nvSpPr>
            <xdr:cNvPr id="419" name="SECTION_GROUP_SUBTITLE_LABEL">
              <a:extLst>
                <a:ext uri="{FF2B5EF4-FFF2-40B4-BE49-F238E27FC236}">
                  <a16:creationId xmlns:a16="http://schemas.microsoft.com/office/drawing/2014/main" id="{00000000-0008-0000-0100-0000A3010000}"/>
                </a:ext>
              </a:extLst>
            </xdr:cNvPr>
            <xdr:cNvSpPr txBox="1"/>
          </xdr:nvSpPr>
          <xdr:spPr>
            <a:xfrm>
              <a:off x="15630526" y="17675184"/>
              <a:ext cx="476249" cy="348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grpSp>
    <xdr:clientData fPrintsWithSheet="0"/>
  </xdr:twoCellAnchor>
  <xdr:twoCellAnchor>
    <xdr:from>
      <xdr:col>7</xdr:col>
      <xdr:colOff>76200</xdr:colOff>
      <xdr:row>478</xdr:row>
      <xdr:rowOff>0</xdr:rowOff>
    </xdr:from>
    <xdr:to>
      <xdr:col>12</xdr:col>
      <xdr:colOff>409574</xdr:colOff>
      <xdr:row>478</xdr:row>
      <xdr:rowOff>273075</xdr:rowOff>
    </xdr:to>
    <xdr:sp macro="" textlink="$B$308">
      <xdr:nvSpPr>
        <xdr:cNvPr id="486" name="SECTION_GROUP_SUBTITLE_LABEL">
          <a:extLst>
            <a:ext uri="{FF2B5EF4-FFF2-40B4-BE49-F238E27FC236}">
              <a16:creationId xmlns:a16="http://schemas.microsoft.com/office/drawing/2014/main" id="{00000000-0008-0000-0100-0000E6010000}"/>
            </a:ext>
          </a:extLst>
        </xdr:cNvPr>
        <xdr:cNvSpPr txBox="1"/>
      </xdr:nvSpPr>
      <xdr:spPr>
        <a:xfrm>
          <a:off x="76200" y="145932525"/>
          <a:ext cx="2285999" cy="273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91440" rtlCol="0" anchor="ctr">
          <a:noAutofit/>
        </a:bodyPr>
        <a:lstStyle/>
        <a:p>
          <a:pPr lvl="0" algn="l"/>
          <a:fld id="{8528BFDC-557B-40C7-921B-21028987BB15}" type="TxLink">
            <a:rPr lang="en-US" sz="1000" b="1" i="1" u="none" strike="noStrike">
              <a:solidFill>
                <a:srgbClr val="C0504D"/>
              </a:solidFill>
              <a:latin typeface="Arial"/>
              <a:cs typeface="Arial"/>
            </a:rPr>
            <a:pPr lvl="0" algn="l"/>
            <a:t>Estimated Score: 0</a:t>
          </a:fld>
          <a:endParaRPr lang="en-US" sz="800" b="0" i="1">
            <a:latin typeface="Arial" pitchFamily="34" charset="0"/>
            <a:cs typeface="Arial" pitchFamily="34" charset="0"/>
          </a:endParaRPr>
        </a:p>
      </xdr:txBody>
    </xdr:sp>
    <xdr:clientData/>
  </xdr:twoCellAnchor>
  <xdr:twoCellAnchor>
    <xdr:from>
      <xdr:col>21</xdr:col>
      <xdr:colOff>152400</xdr:colOff>
      <xdr:row>476</xdr:row>
      <xdr:rowOff>238124</xdr:rowOff>
    </xdr:from>
    <xdr:to>
      <xdr:col>24</xdr:col>
      <xdr:colOff>104775</xdr:colOff>
      <xdr:row>477</xdr:row>
      <xdr:rowOff>266699</xdr:rowOff>
    </xdr:to>
    <xdr:sp macro="" textlink="">
      <xdr:nvSpPr>
        <xdr:cNvPr id="498" name="LINK_RENTAL_TOC">
          <a:hlinkClick xmlns:r="http://schemas.openxmlformats.org/officeDocument/2006/relationships" r:id="rId16"/>
          <a:extLst>
            <a:ext uri="{FF2B5EF4-FFF2-40B4-BE49-F238E27FC236}">
              <a16:creationId xmlns:a16="http://schemas.microsoft.com/office/drawing/2014/main" id="{00000000-0008-0000-0100-0000F2010000}"/>
            </a:ext>
          </a:extLst>
        </xdr:cNvPr>
        <xdr:cNvSpPr/>
      </xdr:nvSpPr>
      <xdr:spPr>
        <a:xfrm>
          <a:off x="14525625" y="145618199"/>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xdr:from>
      <xdr:col>7</xdr:col>
      <xdr:colOff>66675</xdr:colOff>
      <xdr:row>499</xdr:row>
      <xdr:rowOff>0</xdr:rowOff>
    </xdr:from>
    <xdr:to>
      <xdr:col>24</xdr:col>
      <xdr:colOff>104774</xdr:colOff>
      <xdr:row>550</xdr:row>
      <xdr:rowOff>85725</xdr:rowOff>
    </xdr:to>
    <xdr:grpSp>
      <xdr:nvGrpSpPr>
        <xdr:cNvPr id="211" name="SECTION_GROUP">
          <a:extLst>
            <a:ext uri="{FF2B5EF4-FFF2-40B4-BE49-F238E27FC236}">
              <a16:creationId xmlns:a16="http://schemas.microsoft.com/office/drawing/2014/main" id="{00000000-0008-0000-0100-0000D3000000}"/>
            </a:ext>
          </a:extLst>
        </xdr:cNvPr>
        <xdr:cNvGrpSpPr/>
      </xdr:nvGrpSpPr>
      <xdr:grpSpPr>
        <a:xfrm>
          <a:off x="66675" y="152009475"/>
          <a:ext cx="7362824" cy="14173200"/>
          <a:chOff x="9363075" y="17306808"/>
          <a:chExt cx="7362825" cy="15256374"/>
        </a:xfrm>
      </xdr:grpSpPr>
      <xdr:sp macro="" textlink="">
        <xdr:nvSpPr>
          <xdr:cNvPr id="212" name="SECTION_GROUP_FRAME">
            <a:extLst>
              <a:ext uri="{FF2B5EF4-FFF2-40B4-BE49-F238E27FC236}">
                <a16:creationId xmlns:a16="http://schemas.microsoft.com/office/drawing/2014/main" id="{00000000-0008-0000-0100-0000D4000000}"/>
              </a:ext>
            </a:extLst>
          </xdr:cNvPr>
          <xdr:cNvSpPr/>
        </xdr:nvSpPr>
        <xdr:spPr>
          <a:xfrm>
            <a:off x="9363075" y="17641462"/>
            <a:ext cx="7362825" cy="14921720"/>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309">
        <xdr:nvSpPr>
          <xdr:cNvPr id="213" name="SECTION_GROUP_TITLE">
            <a:extLst>
              <a:ext uri="{FF2B5EF4-FFF2-40B4-BE49-F238E27FC236}">
                <a16:creationId xmlns:a16="http://schemas.microsoft.com/office/drawing/2014/main" id="{00000000-0008-0000-0100-0000D5000000}"/>
              </a:ext>
            </a:extLst>
          </xdr:cNvPr>
          <xdr:cNvSpPr/>
        </xdr:nvSpPr>
        <xdr:spPr>
          <a:xfrm>
            <a:off x="9363075" y="17306808"/>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92E693CC-E47F-47C8-B030-F9A798938829}" type="TxLink">
              <a:rPr lang="en-US" sz="1000" b="1" i="0" u="none" strike="noStrike">
                <a:solidFill>
                  <a:schemeClr val="bg1"/>
                </a:solidFill>
                <a:latin typeface="Arial" pitchFamily="34" charset="0"/>
                <a:cs typeface="Arial" pitchFamily="34" charset="0"/>
              </a:rPr>
              <a:pPr algn="l"/>
              <a:t>Use of Donated or Conveyed Government-owned or Other Properties (Maximum Points: 5)</a:t>
            </a:fld>
            <a:endParaRPr lang="en-US" sz="1000" b="1" i="0" u="none" strike="noStrike">
              <a:solidFill>
                <a:schemeClr val="bg1"/>
              </a:solidFill>
              <a:latin typeface="Arial" pitchFamily="34" charset="0"/>
              <a:cs typeface="Arial" pitchFamily="34" charset="0"/>
            </a:endParaRPr>
          </a:p>
        </xdr:txBody>
      </xdr:sp>
      <xdr:sp macro="" textlink="$B$339">
        <xdr:nvSpPr>
          <xdr:cNvPr id="214" name="SECTION_GROUP_SUBTITLE">
            <a:extLst>
              <a:ext uri="{FF2B5EF4-FFF2-40B4-BE49-F238E27FC236}">
                <a16:creationId xmlns:a16="http://schemas.microsoft.com/office/drawing/2014/main" id="{00000000-0008-0000-0100-0000D600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4277C419-2DDD-44E4-80BA-936E907EAE58}" type="TxLink">
              <a:rPr lang="en-US" sz="800" b="0" i="0" u="none" strike="noStrike">
                <a:solidFill>
                  <a:srgbClr val="000000"/>
                </a:solidFill>
                <a:latin typeface="Arial" pitchFamily="34" charset="0"/>
                <a:cs typeface="Arial" pitchFamily="34" charset="0"/>
              </a:rPr>
              <a:pPr algn="r"/>
              <a:t>Not Started</a:t>
            </a:fld>
            <a:endParaRPr lang="en-US" sz="1050" b="0" i="0">
              <a:latin typeface="Arial" pitchFamily="34" charset="0"/>
              <a:cs typeface="Arial" pitchFamily="34" charset="0"/>
            </a:endParaRPr>
          </a:p>
        </xdr:txBody>
      </xdr:sp>
      <xdr:sp macro="" textlink="">
        <xdr:nvSpPr>
          <xdr:cNvPr id="215" name="SECTION_GROUP_SUBTITLE_LABEL">
            <a:extLst>
              <a:ext uri="{FF2B5EF4-FFF2-40B4-BE49-F238E27FC236}">
                <a16:creationId xmlns:a16="http://schemas.microsoft.com/office/drawing/2014/main" id="{00000000-0008-0000-0100-0000D7000000}"/>
              </a:ext>
            </a:extLst>
          </xdr:cNvPr>
          <xdr:cNvSpPr txBox="1"/>
        </xdr:nvSpPr>
        <xdr:spPr>
          <a:xfrm>
            <a:off x="15640051"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xdr:from>
      <xdr:col>21</xdr:col>
      <xdr:colOff>161925</xdr:colOff>
      <xdr:row>499</xdr:row>
      <xdr:rowOff>0</xdr:rowOff>
    </xdr:from>
    <xdr:to>
      <xdr:col>24</xdr:col>
      <xdr:colOff>114300</xdr:colOff>
      <xdr:row>500</xdr:row>
      <xdr:rowOff>28575</xdr:rowOff>
    </xdr:to>
    <xdr:sp macro="" textlink="">
      <xdr:nvSpPr>
        <xdr:cNvPr id="216" name="LINK_RENTAL_TOC">
          <a:hlinkClick xmlns:r="http://schemas.openxmlformats.org/officeDocument/2006/relationships" r:id="rId16"/>
          <a:extLst>
            <a:ext uri="{FF2B5EF4-FFF2-40B4-BE49-F238E27FC236}">
              <a16:creationId xmlns:a16="http://schemas.microsoft.com/office/drawing/2014/main" id="{00000000-0008-0000-0100-0000D8000000}"/>
            </a:ext>
          </a:extLst>
        </xdr:cNvPr>
        <xdr:cNvSpPr/>
      </xdr:nvSpPr>
      <xdr:spPr>
        <a:xfrm>
          <a:off x="14535150" y="15145702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xdr:from>
      <xdr:col>7</xdr:col>
      <xdr:colOff>66675</xdr:colOff>
      <xdr:row>500</xdr:row>
      <xdr:rowOff>47625</xdr:rowOff>
    </xdr:from>
    <xdr:to>
      <xdr:col>12</xdr:col>
      <xdr:colOff>400049</xdr:colOff>
      <xdr:row>501</xdr:row>
      <xdr:rowOff>28575</xdr:rowOff>
    </xdr:to>
    <xdr:sp macro="" textlink="$B$348">
      <xdr:nvSpPr>
        <xdr:cNvPr id="500" name="SECTION_GROUP_SUBTITLE_LABEL">
          <a:extLst>
            <a:ext uri="{FF2B5EF4-FFF2-40B4-BE49-F238E27FC236}">
              <a16:creationId xmlns:a16="http://schemas.microsoft.com/office/drawing/2014/main" id="{00000000-0008-0000-0100-0000F4010000}"/>
            </a:ext>
          </a:extLst>
        </xdr:cNvPr>
        <xdr:cNvSpPr txBox="1"/>
      </xdr:nvSpPr>
      <xdr:spPr>
        <a:xfrm>
          <a:off x="8191500" y="151780875"/>
          <a:ext cx="2285999"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91440" rtlCol="0" anchor="ctr">
          <a:noAutofit/>
        </a:bodyPr>
        <a:lstStyle/>
        <a:p>
          <a:pPr lvl="0" algn="l"/>
          <a:fld id="{57E0EF92-5EF9-4D2B-8E7D-6DD1C2974C4E}" type="TxLink">
            <a:rPr lang="en-US" sz="1000" b="1" i="1" u="none" strike="noStrike">
              <a:solidFill>
                <a:srgbClr val="C0504D"/>
              </a:solidFill>
              <a:latin typeface="Arial"/>
              <a:cs typeface="Arial"/>
            </a:rPr>
            <a:pPr lvl="0" algn="l"/>
            <a:t>Estimated Score: 0</a:t>
          </a:fld>
          <a:endParaRPr lang="en-US" sz="800" b="0" i="1">
            <a:latin typeface="Arial" pitchFamily="34" charset="0"/>
            <a:cs typeface="Arial" pitchFamily="34" charset="0"/>
          </a:endParaRPr>
        </a:p>
      </xdr:txBody>
    </xdr:sp>
    <xdr:clientData/>
  </xdr:twoCellAnchor>
  <xdr:twoCellAnchor>
    <xdr:from>
      <xdr:col>7</xdr:col>
      <xdr:colOff>66675</xdr:colOff>
      <xdr:row>552</xdr:row>
      <xdr:rowOff>19050</xdr:rowOff>
    </xdr:from>
    <xdr:to>
      <xdr:col>12</xdr:col>
      <xdr:colOff>400049</xdr:colOff>
      <xdr:row>553</xdr:row>
      <xdr:rowOff>0</xdr:rowOff>
    </xdr:to>
    <xdr:sp macro="" textlink="$B$390">
      <xdr:nvSpPr>
        <xdr:cNvPr id="501" name="SECTION_GROUP_SUBTITLE_LABEL">
          <a:extLst>
            <a:ext uri="{FF2B5EF4-FFF2-40B4-BE49-F238E27FC236}">
              <a16:creationId xmlns:a16="http://schemas.microsoft.com/office/drawing/2014/main" id="{00000000-0008-0000-0100-0000F5010000}"/>
            </a:ext>
          </a:extLst>
        </xdr:cNvPr>
        <xdr:cNvSpPr txBox="1"/>
      </xdr:nvSpPr>
      <xdr:spPr>
        <a:xfrm>
          <a:off x="8191500" y="166116000"/>
          <a:ext cx="2285999"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91440" rtlCol="0" anchor="ctr">
          <a:noAutofit/>
        </a:bodyPr>
        <a:lstStyle/>
        <a:p>
          <a:pPr lvl="0" algn="l"/>
          <a:fld id="{7770D7D2-E4C3-4156-B477-F210899FF450}" type="TxLink">
            <a:rPr lang="en-US" sz="1000" b="1" i="1" u="none" strike="noStrike">
              <a:solidFill>
                <a:srgbClr val="C0504D"/>
              </a:solidFill>
              <a:latin typeface="Arial"/>
              <a:cs typeface="Arial"/>
            </a:rPr>
            <a:pPr lvl="0" algn="l"/>
            <a:t>Estimated Score: 0</a:t>
          </a:fld>
          <a:endParaRPr lang="en-US" sz="800" b="0" i="1">
            <a:latin typeface="Arial" pitchFamily="34" charset="0"/>
            <a:cs typeface="Arial" pitchFamily="34" charset="0"/>
          </a:endParaRPr>
        </a:p>
      </xdr:txBody>
    </xdr:sp>
    <xdr:clientData/>
  </xdr:twoCellAnchor>
  <xdr:twoCellAnchor>
    <xdr:from>
      <xdr:col>7</xdr:col>
      <xdr:colOff>76200</xdr:colOff>
      <xdr:row>850</xdr:row>
      <xdr:rowOff>38100</xdr:rowOff>
    </xdr:from>
    <xdr:to>
      <xdr:col>12</xdr:col>
      <xdr:colOff>409574</xdr:colOff>
      <xdr:row>851</xdr:row>
      <xdr:rowOff>19050</xdr:rowOff>
    </xdr:to>
    <xdr:sp macro="" textlink="$B$523">
      <xdr:nvSpPr>
        <xdr:cNvPr id="509" name="SECTION_GROUP_SUBTITLE_LABEL">
          <a:extLst>
            <a:ext uri="{FF2B5EF4-FFF2-40B4-BE49-F238E27FC236}">
              <a16:creationId xmlns:a16="http://schemas.microsoft.com/office/drawing/2014/main" id="{00000000-0008-0000-0100-0000FD010000}"/>
            </a:ext>
          </a:extLst>
        </xdr:cNvPr>
        <xdr:cNvSpPr txBox="1"/>
      </xdr:nvSpPr>
      <xdr:spPr>
        <a:xfrm>
          <a:off x="8201025" y="256012950"/>
          <a:ext cx="2285999"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91440" rtlCol="0" anchor="ctr">
          <a:noAutofit/>
        </a:bodyPr>
        <a:lstStyle/>
        <a:p>
          <a:pPr lvl="0" algn="l"/>
          <a:fld id="{A69A3DE6-D65A-4561-81E6-4FFB6CC7BAE2}" type="TxLink">
            <a:rPr lang="en-US" sz="1000" b="1" i="1" u="none" strike="noStrike">
              <a:solidFill>
                <a:srgbClr val="C0504D"/>
              </a:solidFill>
              <a:latin typeface="Arial"/>
              <a:cs typeface="Arial"/>
            </a:rPr>
            <a:pPr lvl="0" algn="l"/>
            <a:t>Estimated Score: 0</a:t>
          </a:fld>
          <a:endParaRPr lang="en-US" sz="800" b="0" i="1">
            <a:latin typeface="Arial" pitchFamily="34" charset="0"/>
            <a:cs typeface="Arial" pitchFamily="34" charset="0"/>
          </a:endParaRPr>
        </a:p>
      </xdr:txBody>
    </xdr:sp>
    <xdr:clientData/>
  </xdr:twoCellAnchor>
  <xdr:twoCellAnchor>
    <xdr:from>
      <xdr:col>7</xdr:col>
      <xdr:colOff>85725</xdr:colOff>
      <xdr:row>925</xdr:row>
      <xdr:rowOff>28575</xdr:rowOff>
    </xdr:from>
    <xdr:to>
      <xdr:col>12</xdr:col>
      <xdr:colOff>419099</xdr:colOff>
      <xdr:row>926</xdr:row>
      <xdr:rowOff>9525</xdr:rowOff>
    </xdr:to>
    <xdr:sp macro="" textlink="$B$482">
      <xdr:nvSpPr>
        <xdr:cNvPr id="510" name="SECTION_GROUP_SUBTITLE_LABEL">
          <a:extLst>
            <a:ext uri="{FF2B5EF4-FFF2-40B4-BE49-F238E27FC236}">
              <a16:creationId xmlns:a16="http://schemas.microsoft.com/office/drawing/2014/main" id="{00000000-0008-0000-0100-0000FE010000}"/>
            </a:ext>
          </a:extLst>
        </xdr:cNvPr>
        <xdr:cNvSpPr txBox="1"/>
      </xdr:nvSpPr>
      <xdr:spPr>
        <a:xfrm>
          <a:off x="8210550" y="276720300"/>
          <a:ext cx="2285999"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91440" rtlCol="0" anchor="ctr">
          <a:noAutofit/>
        </a:bodyPr>
        <a:lstStyle/>
        <a:p>
          <a:pPr lvl="0" algn="l"/>
          <a:fld id="{C5C12BBD-15F7-4345-9BA0-D83D655706EB}" type="TxLink">
            <a:rPr lang="en-US" sz="1000" b="1" i="1" u="none" strike="noStrike">
              <a:solidFill>
                <a:srgbClr val="C0504D"/>
              </a:solidFill>
              <a:latin typeface="Arial"/>
              <a:cs typeface="Arial"/>
            </a:rPr>
            <a:pPr lvl="0" algn="l"/>
            <a:t>Estimated Score: 0</a:t>
          </a:fld>
          <a:endParaRPr lang="en-US" sz="800" b="0" i="1">
            <a:latin typeface="Arial" pitchFamily="34" charset="0"/>
            <a:cs typeface="Arial" pitchFamily="34" charset="0"/>
          </a:endParaRPr>
        </a:p>
      </xdr:txBody>
    </xdr:sp>
    <xdr:clientData/>
  </xdr:twoCellAnchor>
  <xdr:twoCellAnchor>
    <xdr:from>
      <xdr:col>7</xdr:col>
      <xdr:colOff>76200</xdr:colOff>
      <xdr:row>930</xdr:row>
      <xdr:rowOff>9525</xdr:rowOff>
    </xdr:from>
    <xdr:to>
      <xdr:col>12</xdr:col>
      <xdr:colOff>409574</xdr:colOff>
      <xdr:row>930</xdr:row>
      <xdr:rowOff>266700</xdr:rowOff>
    </xdr:to>
    <xdr:sp macro="" textlink="$B$585">
      <xdr:nvSpPr>
        <xdr:cNvPr id="511" name="SECTION_GROUP_SUBTITLE_LABEL">
          <a:extLst>
            <a:ext uri="{FF2B5EF4-FFF2-40B4-BE49-F238E27FC236}">
              <a16:creationId xmlns:a16="http://schemas.microsoft.com/office/drawing/2014/main" id="{00000000-0008-0000-0100-0000FF010000}"/>
            </a:ext>
          </a:extLst>
        </xdr:cNvPr>
        <xdr:cNvSpPr txBox="1"/>
      </xdr:nvSpPr>
      <xdr:spPr>
        <a:xfrm>
          <a:off x="8201025" y="278082375"/>
          <a:ext cx="2285999"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91440" rtlCol="0" anchor="ctr">
          <a:noAutofit/>
        </a:bodyPr>
        <a:lstStyle/>
        <a:p>
          <a:pPr lvl="0" algn="l"/>
          <a:fld id="{2A1F2D9D-3A8C-42FE-A013-1362D8750B58}" type="TxLink">
            <a:rPr lang="en-US" sz="1000" b="1" i="1" u="none" strike="noStrike">
              <a:solidFill>
                <a:srgbClr val="C0504D"/>
              </a:solidFill>
              <a:latin typeface="Arial"/>
              <a:cs typeface="Arial"/>
            </a:rPr>
            <a:pPr lvl="0" algn="l"/>
            <a:t>Estimated Score: 0</a:t>
          </a:fld>
          <a:endParaRPr lang="en-US" sz="800" b="0" i="1">
            <a:latin typeface="Arial" pitchFamily="34" charset="0"/>
            <a:cs typeface="Arial" pitchFamily="34" charset="0"/>
          </a:endParaRPr>
        </a:p>
      </xdr:txBody>
    </xdr:sp>
    <xdr:clientData/>
  </xdr:twoCellAnchor>
  <xdr:twoCellAnchor>
    <xdr:from>
      <xdr:col>7</xdr:col>
      <xdr:colOff>76200</xdr:colOff>
      <xdr:row>705</xdr:row>
      <xdr:rowOff>9525</xdr:rowOff>
    </xdr:from>
    <xdr:to>
      <xdr:col>12</xdr:col>
      <xdr:colOff>409574</xdr:colOff>
      <xdr:row>705</xdr:row>
      <xdr:rowOff>266700</xdr:rowOff>
    </xdr:to>
    <xdr:sp macro="" textlink="$B$551">
      <xdr:nvSpPr>
        <xdr:cNvPr id="512" name="SECTION_GROUP_SUBTITLE_LABEL">
          <a:extLst>
            <a:ext uri="{FF2B5EF4-FFF2-40B4-BE49-F238E27FC236}">
              <a16:creationId xmlns:a16="http://schemas.microsoft.com/office/drawing/2014/main" id="{00000000-0008-0000-0100-000000020000}"/>
            </a:ext>
          </a:extLst>
        </xdr:cNvPr>
        <xdr:cNvSpPr txBox="1"/>
      </xdr:nvSpPr>
      <xdr:spPr>
        <a:xfrm>
          <a:off x="8201025" y="215931750"/>
          <a:ext cx="2285999"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91440" rtlCol="0" anchor="ctr">
          <a:noAutofit/>
        </a:bodyPr>
        <a:lstStyle/>
        <a:p>
          <a:pPr lvl="0" algn="l"/>
          <a:fld id="{50DF9DDE-D4EF-4E84-BBA8-0786E874538E}" type="TxLink">
            <a:rPr lang="en-US" sz="1000" b="1" i="1" u="none" strike="noStrike">
              <a:solidFill>
                <a:srgbClr val="C0504D"/>
              </a:solidFill>
              <a:latin typeface="Arial"/>
              <a:cs typeface="Arial"/>
            </a:rPr>
            <a:pPr lvl="0" algn="l"/>
            <a:t>Estimated Score: 0</a:t>
          </a:fld>
          <a:endParaRPr lang="en-US" sz="800" b="0" i="1">
            <a:latin typeface="Arial" pitchFamily="34" charset="0"/>
            <a:cs typeface="Arial" pitchFamily="34" charset="0"/>
          </a:endParaRPr>
        </a:p>
      </xdr:txBody>
    </xdr:sp>
    <xdr:clientData/>
  </xdr:twoCellAnchor>
  <xdr:twoCellAnchor>
    <xdr:from>
      <xdr:col>7</xdr:col>
      <xdr:colOff>76200</xdr:colOff>
      <xdr:row>659</xdr:row>
      <xdr:rowOff>9525</xdr:rowOff>
    </xdr:from>
    <xdr:to>
      <xdr:col>12</xdr:col>
      <xdr:colOff>409574</xdr:colOff>
      <xdr:row>659</xdr:row>
      <xdr:rowOff>266700</xdr:rowOff>
    </xdr:to>
    <xdr:sp macro="" textlink="$B$428">
      <xdr:nvSpPr>
        <xdr:cNvPr id="513" name="SECTION_GROUP_SUBTITLE_LABEL">
          <a:extLst>
            <a:ext uri="{FF2B5EF4-FFF2-40B4-BE49-F238E27FC236}">
              <a16:creationId xmlns:a16="http://schemas.microsoft.com/office/drawing/2014/main" id="{00000000-0008-0000-0100-000001020000}"/>
            </a:ext>
          </a:extLst>
        </xdr:cNvPr>
        <xdr:cNvSpPr txBox="1"/>
      </xdr:nvSpPr>
      <xdr:spPr>
        <a:xfrm>
          <a:off x="8201025" y="203225400"/>
          <a:ext cx="2285999"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91440" rtlCol="0" anchor="ctr">
          <a:noAutofit/>
        </a:bodyPr>
        <a:lstStyle/>
        <a:p>
          <a:pPr lvl="0" algn="l"/>
          <a:fld id="{33EC9F0B-9F3F-414C-AF98-50F14010CAF3}" type="TxLink">
            <a:rPr lang="en-US" sz="1000" b="1" i="1" u="none" strike="noStrike">
              <a:solidFill>
                <a:srgbClr val="C0504D"/>
              </a:solidFill>
              <a:latin typeface="Arial"/>
              <a:cs typeface="Arial"/>
            </a:rPr>
            <a:pPr lvl="0" algn="l"/>
            <a:t>Estimated Score: 0</a:t>
          </a:fld>
          <a:endParaRPr lang="en-US" sz="800" b="0" i="1">
            <a:latin typeface="Arial" pitchFamily="34" charset="0"/>
            <a:cs typeface="Arial" pitchFamily="34" charset="0"/>
          </a:endParaRPr>
        </a:p>
      </xdr:txBody>
    </xdr:sp>
    <xdr:clientData/>
  </xdr:twoCellAnchor>
  <xdr:twoCellAnchor>
    <xdr:from>
      <xdr:col>7</xdr:col>
      <xdr:colOff>85725</xdr:colOff>
      <xdr:row>650</xdr:row>
      <xdr:rowOff>28575</xdr:rowOff>
    </xdr:from>
    <xdr:to>
      <xdr:col>12</xdr:col>
      <xdr:colOff>419099</xdr:colOff>
      <xdr:row>651</xdr:row>
      <xdr:rowOff>9525</xdr:rowOff>
    </xdr:to>
    <xdr:sp macro="" textlink="$B$466">
      <xdr:nvSpPr>
        <xdr:cNvPr id="514" name="SECTION_GROUP_SUBTITLE_LABEL">
          <a:extLst>
            <a:ext uri="{FF2B5EF4-FFF2-40B4-BE49-F238E27FC236}">
              <a16:creationId xmlns:a16="http://schemas.microsoft.com/office/drawing/2014/main" id="{00000000-0008-0000-0100-000002020000}"/>
            </a:ext>
          </a:extLst>
        </xdr:cNvPr>
        <xdr:cNvSpPr txBox="1"/>
      </xdr:nvSpPr>
      <xdr:spPr>
        <a:xfrm>
          <a:off x="8210550" y="200758425"/>
          <a:ext cx="2285999"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91440" rtlCol="0" anchor="ctr">
          <a:noAutofit/>
        </a:bodyPr>
        <a:lstStyle/>
        <a:p>
          <a:pPr lvl="0" algn="l"/>
          <a:fld id="{D0E8D6C6-B3C9-4697-B980-C8C24A8B76F5}" type="TxLink">
            <a:rPr lang="en-US" sz="1000" b="1" i="1" u="none" strike="noStrike">
              <a:solidFill>
                <a:srgbClr val="C0504D"/>
              </a:solidFill>
              <a:latin typeface="Arial"/>
              <a:cs typeface="Arial"/>
            </a:rPr>
            <a:pPr lvl="0" algn="l"/>
            <a:t>Estimated Score: 0</a:t>
          </a:fld>
          <a:endParaRPr lang="en-US" sz="800" b="0" i="1">
            <a:latin typeface="Arial" pitchFamily="34" charset="0"/>
            <a:cs typeface="Arial" pitchFamily="34" charset="0"/>
          </a:endParaRPr>
        </a:p>
      </xdr:txBody>
    </xdr:sp>
    <xdr:clientData/>
  </xdr:twoCellAnchor>
  <xdr:twoCellAnchor>
    <xdr:from>
      <xdr:col>7</xdr:col>
      <xdr:colOff>76200</xdr:colOff>
      <xdr:row>642</xdr:row>
      <xdr:rowOff>19050</xdr:rowOff>
    </xdr:from>
    <xdr:to>
      <xdr:col>12</xdr:col>
      <xdr:colOff>409574</xdr:colOff>
      <xdr:row>643</xdr:row>
      <xdr:rowOff>0</xdr:rowOff>
    </xdr:to>
    <xdr:sp macro="" textlink="$B$567">
      <xdr:nvSpPr>
        <xdr:cNvPr id="515" name="SECTION_GROUP_SUBTITLE_LABEL">
          <a:extLst>
            <a:ext uri="{FF2B5EF4-FFF2-40B4-BE49-F238E27FC236}">
              <a16:creationId xmlns:a16="http://schemas.microsoft.com/office/drawing/2014/main" id="{00000000-0008-0000-0100-000003020000}"/>
            </a:ext>
          </a:extLst>
        </xdr:cNvPr>
        <xdr:cNvSpPr txBox="1"/>
      </xdr:nvSpPr>
      <xdr:spPr>
        <a:xfrm>
          <a:off x="8201025" y="198539100"/>
          <a:ext cx="2285999"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91440" rtlCol="0" anchor="ctr">
          <a:noAutofit/>
        </a:bodyPr>
        <a:lstStyle/>
        <a:p>
          <a:pPr lvl="0" algn="l"/>
          <a:fld id="{458C8F60-7EB1-4267-8E67-75D0749A33A1}" type="TxLink">
            <a:rPr lang="en-US" sz="1000" b="1" i="1" u="none" strike="noStrike">
              <a:solidFill>
                <a:srgbClr val="C0504D"/>
              </a:solidFill>
              <a:latin typeface="Arial"/>
              <a:cs typeface="Arial"/>
            </a:rPr>
            <a:pPr lvl="0" algn="l"/>
            <a:t>Estimated Score: 0</a:t>
          </a:fld>
          <a:endParaRPr lang="en-US" sz="800" b="0" i="1">
            <a:latin typeface="Arial" pitchFamily="34" charset="0"/>
            <a:cs typeface="Arial" pitchFamily="34" charset="0"/>
          </a:endParaRPr>
        </a:p>
      </xdr:txBody>
    </xdr:sp>
    <xdr:clientData/>
  </xdr:twoCellAnchor>
  <xdr:twoCellAnchor>
    <xdr:from>
      <xdr:col>7</xdr:col>
      <xdr:colOff>76200</xdr:colOff>
      <xdr:row>628</xdr:row>
      <xdr:rowOff>28575</xdr:rowOff>
    </xdr:from>
    <xdr:to>
      <xdr:col>12</xdr:col>
      <xdr:colOff>409574</xdr:colOff>
      <xdr:row>629</xdr:row>
      <xdr:rowOff>9525</xdr:rowOff>
    </xdr:to>
    <xdr:sp macro="" textlink="$B$449">
      <xdr:nvSpPr>
        <xdr:cNvPr id="516" name="SECTION_GROUP_SUBTITLE_LABEL">
          <a:extLst>
            <a:ext uri="{FF2B5EF4-FFF2-40B4-BE49-F238E27FC236}">
              <a16:creationId xmlns:a16="http://schemas.microsoft.com/office/drawing/2014/main" id="{00000000-0008-0000-0100-000004020000}"/>
            </a:ext>
          </a:extLst>
        </xdr:cNvPr>
        <xdr:cNvSpPr txBox="1"/>
      </xdr:nvSpPr>
      <xdr:spPr>
        <a:xfrm>
          <a:off x="8201025" y="194681475"/>
          <a:ext cx="2285999"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91440" rtlCol="0" anchor="ctr">
          <a:noAutofit/>
        </a:bodyPr>
        <a:lstStyle/>
        <a:p>
          <a:pPr lvl="0" algn="l"/>
          <a:fld id="{27CF7EBE-D223-4021-AE0A-1A9CBA910E63}" type="TxLink">
            <a:rPr lang="en-US" sz="1000" b="1" i="1" u="none" strike="noStrike">
              <a:solidFill>
                <a:srgbClr val="C0504D"/>
              </a:solidFill>
              <a:latin typeface="Arial"/>
              <a:cs typeface="Arial"/>
            </a:rPr>
            <a:pPr lvl="0" algn="l"/>
            <a:t>Estimated Score: 0</a:t>
          </a:fld>
          <a:endParaRPr lang="en-US" sz="800" b="0" i="1">
            <a:latin typeface="Arial" pitchFamily="34" charset="0"/>
            <a:cs typeface="Arial" pitchFamily="34" charset="0"/>
          </a:endParaRPr>
        </a:p>
      </xdr:txBody>
    </xdr:sp>
    <xdr:clientData/>
  </xdr:twoCellAnchor>
  <xdr:twoCellAnchor>
    <xdr:from>
      <xdr:col>7</xdr:col>
      <xdr:colOff>76200</xdr:colOff>
      <xdr:row>604</xdr:row>
      <xdr:rowOff>9525</xdr:rowOff>
    </xdr:from>
    <xdr:to>
      <xdr:col>12</xdr:col>
      <xdr:colOff>409574</xdr:colOff>
      <xdr:row>604</xdr:row>
      <xdr:rowOff>266700</xdr:rowOff>
    </xdr:to>
    <xdr:sp macro="" textlink="$B$407">
      <xdr:nvSpPr>
        <xdr:cNvPr id="517" name="SECTION_GROUP_SUBTITLE_LABEL">
          <a:extLst>
            <a:ext uri="{FF2B5EF4-FFF2-40B4-BE49-F238E27FC236}">
              <a16:creationId xmlns:a16="http://schemas.microsoft.com/office/drawing/2014/main" id="{00000000-0008-0000-0100-000005020000}"/>
            </a:ext>
          </a:extLst>
        </xdr:cNvPr>
        <xdr:cNvSpPr txBox="1"/>
      </xdr:nvSpPr>
      <xdr:spPr>
        <a:xfrm>
          <a:off x="8201025" y="181022625"/>
          <a:ext cx="2285999"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91440" rtlCol="0" anchor="ctr">
          <a:noAutofit/>
        </a:bodyPr>
        <a:lstStyle/>
        <a:p>
          <a:pPr lvl="0" algn="l"/>
          <a:fld id="{C09C77CB-0325-49DF-B977-D77AE5128242}" type="TxLink">
            <a:rPr lang="en-US" sz="1000" b="1" i="1" u="none" strike="noStrike">
              <a:solidFill>
                <a:srgbClr val="C0504D"/>
              </a:solidFill>
              <a:latin typeface="Arial"/>
              <a:cs typeface="Arial"/>
            </a:rPr>
            <a:pPr lvl="0" algn="l"/>
            <a:t>Estimated Score: 0</a:t>
          </a:fld>
          <a:endParaRPr lang="en-US" sz="800" b="0" i="1">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16</xdr:col>
      <xdr:colOff>314325</xdr:colOff>
      <xdr:row>19</xdr:row>
      <xdr:rowOff>9525</xdr:rowOff>
    </xdr:from>
    <xdr:ext cx="2181225" cy="264560"/>
    <xdr:sp macro="" textlink="$AC$20">
      <xdr:nvSpPr>
        <xdr:cNvPr id="273" name="TOC_SECTION_LINK">
          <a:hlinkClick xmlns:r="http://schemas.openxmlformats.org/officeDocument/2006/relationships" r:id="rId1"/>
          <a:extLst>
            <a:ext uri="{FF2B5EF4-FFF2-40B4-BE49-F238E27FC236}">
              <a16:creationId xmlns:a16="http://schemas.microsoft.com/office/drawing/2014/main" id="{00000000-0008-0000-0200-000011010000}"/>
            </a:ext>
          </a:extLst>
        </xdr:cNvPr>
        <xdr:cNvSpPr txBox="1"/>
      </xdr:nvSpPr>
      <xdr:spPr>
        <a:xfrm>
          <a:off x="12182475" y="4000500"/>
          <a:ext cx="2181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A41A8CDA-B9E8-4B50-932A-CFC879FC33D8}" type="TxLink">
            <a:rPr lang="en-US" sz="900" b="1" i="0" u="sng" strike="noStrike">
              <a:solidFill>
                <a:srgbClr val="366092"/>
              </a:solidFill>
              <a:latin typeface="Arial"/>
              <a:cs typeface="Arial"/>
            </a:rPr>
            <a:pPr algn="l"/>
            <a:t>Rural</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twoCellAnchor editAs="oneCell">
    <xdr:from>
      <xdr:col>7</xdr:col>
      <xdr:colOff>76200</xdr:colOff>
      <xdr:row>368</xdr:row>
      <xdr:rowOff>0</xdr:rowOff>
    </xdr:from>
    <xdr:to>
      <xdr:col>24</xdr:col>
      <xdr:colOff>103250</xdr:colOff>
      <xdr:row>369</xdr:row>
      <xdr:rowOff>199263</xdr:rowOff>
    </xdr:to>
    <xdr:sp macro="" textlink="$I$368">
      <xdr:nvSpPr>
        <xdr:cNvPr id="288" name="SECTION_GROUP_SUBTITLE">
          <a:extLst>
            <a:ext uri="{FF2B5EF4-FFF2-40B4-BE49-F238E27FC236}">
              <a16:creationId xmlns:a16="http://schemas.microsoft.com/office/drawing/2014/main" id="{00000000-0008-0000-0200-000020010000}"/>
            </a:ext>
          </a:extLst>
        </xdr:cNvPr>
        <xdr:cNvSpPr/>
      </xdr:nvSpPr>
      <xdr:spPr>
        <a:xfrm>
          <a:off x="8201025" y="84715350"/>
          <a:ext cx="7351775" cy="475488"/>
        </a:xfrm>
        <a:prstGeom prst="rect">
          <a:avLst/>
        </a:prstGeom>
        <a:solidFill>
          <a:schemeClr val="accent3">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91440" rtlCol="0" anchor="ctr"/>
        <a:lstStyle/>
        <a:p>
          <a:pPr algn="l"/>
          <a:fld id="{CE63C122-7452-467F-8985-35B92DA3C57D}" type="TxLink">
            <a:rPr lang="en-US" sz="900" b="1" i="0" u="none" strike="noStrike">
              <a:solidFill>
                <a:srgbClr val="000000"/>
              </a:solidFill>
              <a:latin typeface="Arial" pitchFamily="34" charset="0"/>
              <a:cs typeface="Arial" pitchFamily="34" charset="0"/>
            </a:rPr>
            <a:pPr algn="l"/>
            <a:t>Unit income targeting information provided in this section must match the unit income targeting information on the financial worksheets.</a:t>
          </a:fld>
          <a:endParaRPr lang="en-US" sz="900" b="1" i="0">
            <a:latin typeface="Arial" pitchFamily="34" charset="0"/>
            <a:cs typeface="Arial" pitchFamily="34" charset="0"/>
          </a:endParaRPr>
        </a:p>
      </xdr:txBody>
    </xdr:sp>
    <xdr:clientData fPrintsWithSheet="0"/>
  </xdr:twoCellAnchor>
  <xdr:twoCellAnchor editAs="oneCell">
    <xdr:from>
      <xdr:col>7</xdr:col>
      <xdr:colOff>66675</xdr:colOff>
      <xdr:row>746</xdr:row>
      <xdr:rowOff>238125</xdr:rowOff>
    </xdr:from>
    <xdr:to>
      <xdr:col>24</xdr:col>
      <xdr:colOff>104774</xdr:colOff>
      <xdr:row>813</xdr:row>
      <xdr:rowOff>95250</xdr:rowOff>
    </xdr:to>
    <xdr:grpSp>
      <xdr:nvGrpSpPr>
        <xdr:cNvPr id="11" name="SECTION_GROUP">
          <a:extLst>
            <a:ext uri="{FF2B5EF4-FFF2-40B4-BE49-F238E27FC236}">
              <a16:creationId xmlns:a16="http://schemas.microsoft.com/office/drawing/2014/main" id="{00000000-0008-0000-0200-00000B000000}"/>
            </a:ext>
          </a:extLst>
        </xdr:cNvPr>
        <xdr:cNvGrpSpPr/>
      </xdr:nvGrpSpPr>
      <xdr:grpSpPr>
        <a:xfrm>
          <a:off x="66675" y="222513525"/>
          <a:ext cx="7362824" cy="18354675"/>
          <a:chOff x="9363075" y="17306808"/>
          <a:chExt cx="7362825" cy="19971863"/>
        </a:xfrm>
      </xdr:grpSpPr>
      <xdr:sp macro="" textlink="$B$477">
        <xdr:nvSpPr>
          <xdr:cNvPr id="12" name="SECTION_GROUP_TITLE">
            <a:extLst>
              <a:ext uri="{FF2B5EF4-FFF2-40B4-BE49-F238E27FC236}">
                <a16:creationId xmlns:a16="http://schemas.microsoft.com/office/drawing/2014/main" id="{00000000-0008-0000-0200-00000C000000}"/>
              </a:ext>
            </a:extLst>
          </xdr:cNvPr>
          <xdr:cNvSpPr/>
        </xdr:nvSpPr>
        <xdr:spPr>
          <a:xfrm>
            <a:off x="9363075" y="17306808"/>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31A48AAB-8A57-4AAB-8CFC-E6D017314BB7}" type="TxLink">
              <a:rPr lang="en-US" sz="1000" b="1" i="0" u="none" strike="noStrike">
                <a:solidFill>
                  <a:srgbClr val="FFFFFF"/>
                </a:solidFill>
                <a:latin typeface="Arial" pitchFamily="34" charset="0"/>
                <a:cs typeface="Arial" pitchFamily="34" charset="0"/>
              </a:rPr>
              <a:pPr algn="l"/>
              <a:t>Project Readiness (Maximum Points: 7)</a:t>
            </a:fld>
            <a:endParaRPr lang="en-US" sz="1000" b="1" i="0" u="none" strike="noStrike">
              <a:solidFill>
                <a:schemeClr val="bg1"/>
              </a:solidFill>
              <a:latin typeface="Arial" pitchFamily="34" charset="0"/>
              <a:cs typeface="Arial" pitchFamily="34" charset="0"/>
            </a:endParaRPr>
          </a:p>
        </xdr:txBody>
      </xdr:sp>
      <xdr:sp macro="" textlink="">
        <xdr:nvSpPr>
          <xdr:cNvPr id="13" name="SECTION_GROUP_FRAME">
            <a:extLst>
              <a:ext uri="{FF2B5EF4-FFF2-40B4-BE49-F238E27FC236}">
                <a16:creationId xmlns:a16="http://schemas.microsoft.com/office/drawing/2014/main" id="{00000000-0008-0000-0200-00000D000000}"/>
              </a:ext>
            </a:extLst>
          </xdr:cNvPr>
          <xdr:cNvSpPr/>
        </xdr:nvSpPr>
        <xdr:spPr>
          <a:xfrm>
            <a:off x="9363075" y="17641463"/>
            <a:ext cx="7362825" cy="19637208"/>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511">
        <xdr:nvSpPr>
          <xdr:cNvPr id="14" name="SECTION_GROUP_SUBTITLE">
            <a:extLst>
              <a:ext uri="{FF2B5EF4-FFF2-40B4-BE49-F238E27FC236}">
                <a16:creationId xmlns:a16="http://schemas.microsoft.com/office/drawing/2014/main" id="{00000000-0008-0000-0200-00000E00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6A069F08-2765-40AF-88ED-576EA6BBC873}" type="TxLink">
              <a:rPr lang="en-US" sz="800" b="0" i="0" u="none" strike="noStrike">
                <a:solidFill>
                  <a:srgbClr val="000000"/>
                </a:solidFill>
                <a:latin typeface="Arial" pitchFamily="34" charset="0"/>
                <a:cs typeface="Arial" pitchFamily="34" charset="0"/>
              </a:rPr>
              <a:pPr algn="r"/>
              <a:t>Not Started</a:t>
            </a:fld>
            <a:endParaRPr lang="en-US" sz="800" b="0" i="0" u="none" strike="noStrike">
              <a:solidFill>
                <a:srgbClr val="000000"/>
              </a:solidFill>
              <a:latin typeface="Arial" pitchFamily="34" charset="0"/>
              <a:cs typeface="Arial" pitchFamily="34" charset="0"/>
            </a:endParaRPr>
          </a:p>
        </xdr:txBody>
      </xdr:sp>
      <xdr:sp macro="" textlink="">
        <xdr:nvSpPr>
          <xdr:cNvPr id="15" name="SECTION_GROUP_SUBTITLE_LABEL">
            <a:extLst>
              <a:ext uri="{FF2B5EF4-FFF2-40B4-BE49-F238E27FC236}">
                <a16:creationId xmlns:a16="http://schemas.microsoft.com/office/drawing/2014/main" id="{00000000-0008-0000-0200-00000F000000}"/>
              </a:ext>
            </a:extLst>
          </xdr:cNvPr>
          <xdr:cNvSpPr txBox="1"/>
        </xdr:nvSpPr>
        <xdr:spPr>
          <a:xfrm>
            <a:off x="15630526"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oneCellAnchor>
    <xdr:from>
      <xdr:col>16</xdr:col>
      <xdr:colOff>314325</xdr:colOff>
      <xdr:row>22</xdr:row>
      <xdr:rowOff>9525</xdr:rowOff>
    </xdr:from>
    <xdr:ext cx="2181225" cy="264560"/>
    <xdr:sp macro="" textlink="$AC$23">
      <xdr:nvSpPr>
        <xdr:cNvPr id="2" name="TOC_SECTION_LINK">
          <a:hlinkClick xmlns:r="http://schemas.openxmlformats.org/officeDocument/2006/relationships" r:id="rId2"/>
          <a:extLst>
            <a:ext uri="{FF2B5EF4-FFF2-40B4-BE49-F238E27FC236}">
              <a16:creationId xmlns:a16="http://schemas.microsoft.com/office/drawing/2014/main" id="{00000000-0008-0000-0200-000002000000}"/>
            </a:ext>
          </a:extLst>
        </xdr:cNvPr>
        <xdr:cNvSpPr txBox="1"/>
      </xdr:nvSpPr>
      <xdr:spPr>
        <a:xfrm>
          <a:off x="12182475" y="5229225"/>
          <a:ext cx="2181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ACD9679F-8316-4150-B0AC-9818B589AB4D}" type="TxLink">
            <a:rPr lang="en-US" sz="900" b="1" i="0" u="sng" strike="noStrike">
              <a:solidFill>
                <a:srgbClr val="366092"/>
              </a:solidFill>
              <a:latin typeface="Arial"/>
              <a:cs typeface="Arial"/>
            </a:rPr>
            <a:pPr algn="l"/>
            <a:t>Project Readiness</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16</xdr:col>
      <xdr:colOff>314325</xdr:colOff>
      <xdr:row>21</xdr:row>
      <xdr:rowOff>9525</xdr:rowOff>
    </xdr:from>
    <xdr:ext cx="2181225" cy="264560"/>
    <xdr:sp macro="" textlink="$AC$22">
      <xdr:nvSpPr>
        <xdr:cNvPr id="8" name="TOC_SECTION_LINK">
          <a:hlinkClick xmlns:r="http://schemas.openxmlformats.org/officeDocument/2006/relationships" r:id="rId3"/>
          <a:extLst>
            <a:ext uri="{FF2B5EF4-FFF2-40B4-BE49-F238E27FC236}">
              <a16:creationId xmlns:a16="http://schemas.microsoft.com/office/drawing/2014/main" id="{00000000-0008-0000-0200-000008000000}"/>
            </a:ext>
          </a:extLst>
        </xdr:cNvPr>
        <xdr:cNvSpPr txBox="1"/>
      </xdr:nvSpPr>
      <xdr:spPr>
        <a:xfrm>
          <a:off x="12182475" y="4895850"/>
          <a:ext cx="2181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71DABC7A-3802-4610-82BA-3154CC986051}" type="TxLink">
            <a:rPr lang="en-US" sz="900" b="1" i="0" u="sng" strike="noStrike">
              <a:solidFill>
                <a:srgbClr val="366092"/>
              </a:solidFill>
              <a:latin typeface="Arial"/>
              <a:cs typeface="Arial"/>
            </a:rPr>
            <a:pPr algn="l"/>
            <a:t>Community Stability</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16</xdr:col>
      <xdr:colOff>314325</xdr:colOff>
      <xdr:row>17</xdr:row>
      <xdr:rowOff>9525</xdr:rowOff>
    </xdr:from>
    <xdr:ext cx="2181225" cy="264560"/>
    <xdr:sp macro="" textlink="$AC$18">
      <xdr:nvSpPr>
        <xdr:cNvPr id="9" name="TOC_SECTION_LINK">
          <a:hlinkClick xmlns:r="http://schemas.openxmlformats.org/officeDocument/2006/relationships" r:id="rId4"/>
          <a:extLst>
            <a:ext uri="{FF2B5EF4-FFF2-40B4-BE49-F238E27FC236}">
              <a16:creationId xmlns:a16="http://schemas.microsoft.com/office/drawing/2014/main" id="{00000000-0008-0000-0200-000009000000}"/>
            </a:ext>
          </a:extLst>
        </xdr:cNvPr>
        <xdr:cNvSpPr txBox="1"/>
      </xdr:nvSpPr>
      <xdr:spPr>
        <a:xfrm>
          <a:off x="12182475" y="3448050"/>
          <a:ext cx="2181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50DE8110-C5CB-43D4-B8AF-793DCEBDF161}" type="TxLink">
            <a:rPr lang="en-US" sz="900" b="1" i="0" u="sng" strike="noStrike">
              <a:solidFill>
                <a:srgbClr val="366092"/>
              </a:solidFill>
              <a:latin typeface="Arial"/>
              <a:cs typeface="Arial"/>
            </a:rPr>
            <a:pPr algn="l"/>
            <a:t>Special Needs</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16</xdr:col>
      <xdr:colOff>314325</xdr:colOff>
      <xdr:row>18</xdr:row>
      <xdr:rowOff>9525</xdr:rowOff>
    </xdr:from>
    <xdr:ext cx="2181225" cy="264560"/>
    <xdr:sp macro="" textlink="$AC$19">
      <xdr:nvSpPr>
        <xdr:cNvPr id="10" name="TOC_SECTION_LINK">
          <a:hlinkClick xmlns:r="http://schemas.openxmlformats.org/officeDocument/2006/relationships" r:id="rId5"/>
          <a:extLst>
            <a:ext uri="{FF2B5EF4-FFF2-40B4-BE49-F238E27FC236}">
              <a16:creationId xmlns:a16="http://schemas.microsoft.com/office/drawing/2014/main" id="{00000000-0008-0000-0200-00000A000000}"/>
            </a:ext>
          </a:extLst>
        </xdr:cNvPr>
        <xdr:cNvSpPr txBox="1"/>
      </xdr:nvSpPr>
      <xdr:spPr>
        <a:xfrm>
          <a:off x="12182475" y="3724275"/>
          <a:ext cx="2181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69B5B12E-8CEE-4A45-9C08-A17A7C0C116C}" type="TxLink">
            <a:rPr lang="en-US" sz="900" b="1" i="0" u="sng" strike="noStrike">
              <a:solidFill>
                <a:srgbClr val="366092"/>
              </a:solidFill>
              <a:latin typeface="Arial"/>
              <a:cs typeface="Arial"/>
            </a:rPr>
            <a:pPr algn="l"/>
            <a:t>Large Units</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16</xdr:col>
      <xdr:colOff>314325</xdr:colOff>
      <xdr:row>14</xdr:row>
      <xdr:rowOff>9525</xdr:rowOff>
    </xdr:from>
    <xdr:ext cx="2181225" cy="264560"/>
    <xdr:sp macro="" textlink="$AC$15">
      <xdr:nvSpPr>
        <xdr:cNvPr id="36" name="TOC_SECTION_LINK">
          <a:hlinkClick xmlns:r="http://schemas.openxmlformats.org/officeDocument/2006/relationships" r:id="rId6"/>
          <a:extLst>
            <a:ext uri="{FF2B5EF4-FFF2-40B4-BE49-F238E27FC236}">
              <a16:creationId xmlns:a16="http://schemas.microsoft.com/office/drawing/2014/main" id="{00000000-0008-0000-0200-000024000000}"/>
            </a:ext>
          </a:extLst>
        </xdr:cNvPr>
        <xdr:cNvSpPr txBox="1"/>
      </xdr:nvSpPr>
      <xdr:spPr>
        <a:xfrm>
          <a:off x="12182475" y="3019425"/>
          <a:ext cx="2181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B98EE912-271F-4509-A47B-21AA2EA24329}" type="TxLink">
            <a:rPr lang="en-US" sz="900" b="1" i="0" u="sng" strike="noStrike">
              <a:solidFill>
                <a:srgbClr val="366092"/>
              </a:solidFill>
              <a:latin typeface="Arial"/>
              <a:cs typeface="Arial"/>
            </a:rPr>
            <a:pPr algn="l"/>
            <a:t>Nonprofit Sponsorship</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twoCellAnchor editAs="oneCell">
    <xdr:from>
      <xdr:col>7</xdr:col>
      <xdr:colOff>66675</xdr:colOff>
      <xdr:row>438</xdr:row>
      <xdr:rowOff>238124</xdr:rowOff>
    </xdr:from>
    <xdr:to>
      <xdr:col>24</xdr:col>
      <xdr:colOff>104774</xdr:colOff>
      <xdr:row>479</xdr:row>
      <xdr:rowOff>66675</xdr:rowOff>
    </xdr:to>
    <xdr:grpSp>
      <xdr:nvGrpSpPr>
        <xdr:cNvPr id="37" name="SECTION_GROUP">
          <a:extLst>
            <a:ext uri="{FF2B5EF4-FFF2-40B4-BE49-F238E27FC236}">
              <a16:creationId xmlns:a16="http://schemas.microsoft.com/office/drawing/2014/main" id="{00000000-0008-0000-0200-000025000000}"/>
            </a:ext>
          </a:extLst>
        </xdr:cNvPr>
        <xdr:cNvGrpSpPr/>
      </xdr:nvGrpSpPr>
      <xdr:grpSpPr>
        <a:xfrm>
          <a:off x="66675" y="130425824"/>
          <a:ext cx="7362824" cy="11153776"/>
          <a:chOff x="9363075" y="17306808"/>
          <a:chExt cx="7362825" cy="12006196"/>
        </a:xfrm>
      </xdr:grpSpPr>
      <xdr:sp macro="" textlink="">
        <xdr:nvSpPr>
          <xdr:cNvPr id="38" name="SECTION_GROUP_FRAME">
            <a:extLst>
              <a:ext uri="{FF2B5EF4-FFF2-40B4-BE49-F238E27FC236}">
                <a16:creationId xmlns:a16="http://schemas.microsoft.com/office/drawing/2014/main" id="{00000000-0008-0000-0200-000026000000}"/>
              </a:ext>
            </a:extLst>
          </xdr:cNvPr>
          <xdr:cNvSpPr/>
        </xdr:nvSpPr>
        <xdr:spPr>
          <a:xfrm>
            <a:off x="9363075" y="17641464"/>
            <a:ext cx="7362825" cy="11671540"/>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339">
        <xdr:nvSpPr>
          <xdr:cNvPr id="39" name="SECTION_GROUP_TITLE">
            <a:extLst>
              <a:ext uri="{FF2B5EF4-FFF2-40B4-BE49-F238E27FC236}">
                <a16:creationId xmlns:a16="http://schemas.microsoft.com/office/drawing/2014/main" id="{00000000-0008-0000-0200-000027000000}"/>
              </a:ext>
            </a:extLst>
          </xdr:cNvPr>
          <xdr:cNvSpPr/>
        </xdr:nvSpPr>
        <xdr:spPr>
          <a:xfrm>
            <a:off x="9363075" y="17306808"/>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113466A9-ADF9-451E-8531-DB9B8F0C3B05}" type="TxLink">
              <a:rPr lang="en-US" sz="1000" b="1" i="0" u="none" strike="noStrike">
                <a:solidFill>
                  <a:srgbClr val="FFFFFF"/>
                </a:solidFill>
                <a:latin typeface="Arial" pitchFamily="34" charset="0"/>
                <a:cs typeface="Arial" pitchFamily="34" charset="0"/>
              </a:rPr>
              <a:pPr algn="l"/>
              <a:t>Sponsorship by a Not-For-Profit Organization or Government Entity (Maximum Points: 7)</a:t>
            </a:fld>
            <a:endParaRPr lang="en-US" sz="1000" b="1" i="0" u="none" strike="noStrike">
              <a:solidFill>
                <a:schemeClr val="bg1"/>
              </a:solidFill>
              <a:latin typeface="Arial" pitchFamily="34" charset="0"/>
              <a:cs typeface="Arial" pitchFamily="34" charset="0"/>
            </a:endParaRPr>
          </a:p>
        </xdr:txBody>
      </xdr:sp>
      <xdr:sp macro="" textlink="$B$357">
        <xdr:nvSpPr>
          <xdr:cNvPr id="40" name="SECTION_GROUP_SUBTITLE">
            <a:extLst>
              <a:ext uri="{FF2B5EF4-FFF2-40B4-BE49-F238E27FC236}">
                <a16:creationId xmlns:a16="http://schemas.microsoft.com/office/drawing/2014/main" id="{00000000-0008-0000-0200-00002800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E9025707-78DE-49FC-8996-5782EA9B192B}" type="TxLink">
              <a:rPr lang="en-US" sz="800" b="0" i="0" u="none" strike="noStrike">
                <a:solidFill>
                  <a:srgbClr val="000000"/>
                </a:solidFill>
                <a:latin typeface="Arial" pitchFamily="34" charset="0"/>
                <a:cs typeface="Arial" pitchFamily="34" charset="0"/>
              </a:rPr>
              <a:pPr algn="r"/>
              <a:t>Not Started</a:t>
            </a:fld>
            <a:endParaRPr lang="en-US" sz="1050" b="0" i="0">
              <a:latin typeface="Arial" pitchFamily="34" charset="0"/>
              <a:cs typeface="Arial" pitchFamily="34" charset="0"/>
            </a:endParaRPr>
          </a:p>
        </xdr:txBody>
      </xdr:sp>
      <xdr:sp macro="" textlink="">
        <xdr:nvSpPr>
          <xdr:cNvPr id="41" name="SECTION_GROUP_SUBTITLE_LABEL">
            <a:extLst>
              <a:ext uri="{FF2B5EF4-FFF2-40B4-BE49-F238E27FC236}">
                <a16:creationId xmlns:a16="http://schemas.microsoft.com/office/drawing/2014/main" id="{00000000-0008-0000-0200-000029000000}"/>
              </a:ext>
            </a:extLst>
          </xdr:cNvPr>
          <xdr:cNvSpPr txBox="1"/>
        </xdr:nvSpPr>
        <xdr:spPr>
          <a:xfrm>
            <a:off x="15640051"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66675</xdr:colOff>
      <xdr:row>365</xdr:row>
      <xdr:rowOff>238123</xdr:rowOff>
    </xdr:from>
    <xdr:to>
      <xdr:col>24</xdr:col>
      <xdr:colOff>104774</xdr:colOff>
      <xdr:row>386</xdr:row>
      <xdr:rowOff>95248</xdr:rowOff>
    </xdr:to>
    <xdr:grpSp>
      <xdr:nvGrpSpPr>
        <xdr:cNvPr id="42" name="SECTION_GROUP">
          <a:extLst>
            <a:ext uri="{FF2B5EF4-FFF2-40B4-BE49-F238E27FC236}">
              <a16:creationId xmlns:a16="http://schemas.microsoft.com/office/drawing/2014/main" id="{00000000-0008-0000-0200-00002A000000}"/>
            </a:ext>
          </a:extLst>
        </xdr:cNvPr>
        <xdr:cNvGrpSpPr/>
      </xdr:nvGrpSpPr>
      <xdr:grpSpPr>
        <a:xfrm>
          <a:off x="66675" y="110261398"/>
          <a:ext cx="7362824" cy="5657850"/>
          <a:chOff x="9363075" y="17258403"/>
          <a:chExt cx="7362825" cy="7187851"/>
        </a:xfrm>
      </xdr:grpSpPr>
      <xdr:sp macro="" textlink="">
        <xdr:nvSpPr>
          <xdr:cNvPr id="43" name="SECTION_GROUP_FRAME">
            <a:extLst>
              <a:ext uri="{FF2B5EF4-FFF2-40B4-BE49-F238E27FC236}">
                <a16:creationId xmlns:a16="http://schemas.microsoft.com/office/drawing/2014/main" id="{00000000-0008-0000-0200-00002B000000}"/>
              </a:ext>
            </a:extLst>
          </xdr:cNvPr>
          <xdr:cNvSpPr/>
        </xdr:nvSpPr>
        <xdr:spPr>
          <a:xfrm>
            <a:off x="9363075" y="17641467"/>
            <a:ext cx="7362825" cy="6804787"/>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257">
        <xdr:nvSpPr>
          <xdr:cNvPr id="44" name="SECTION_GROUP_TITLE">
            <a:extLst>
              <a:ext uri="{FF2B5EF4-FFF2-40B4-BE49-F238E27FC236}">
                <a16:creationId xmlns:a16="http://schemas.microsoft.com/office/drawing/2014/main" id="{00000000-0008-0000-0200-00002C000000}"/>
              </a:ext>
            </a:extLst>
          </xdr:cNvPr>
          <xdr:cNvSpPr/>
        </xdr:nvSpPr>
        <xdr:spPr>
          <a:xfrm>
            <a:off x="9363075" y="17258403"/>
            <a:ext cx="7360920" cy="394969"/>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91FB2C55-7FD5-4387-9F83-36EE143ABBB6}" type="TxLink">
              <a:rPr lang="en-US" sz="1000" b="1" i="0" u="none" strike="noStrike">
                <a:solidFill>
                  <a:srgbClr val="FFFFFF"/>
                </a:solidFill>
                <a:latin typeface="Arial" pitchFamily="34" charset="0"/>
                <a:cs typeface="Arial" pitchFamily="34" charset="0"/>
              </a:rPr>
              <a:pPr algn="l"/>
              <a:t>Targeting to Lower-Income Households (Maximum Points: 20)</a:t>
            </a:fld>
            <a:endParaRPr lang="en-US" sz="1000" b="1" i="0" u="none" strike="noStrike">
              <a:solidFill>
                <a:schemeClr val="bg1"/>
              </a:solidFill>
              <a:latin typeface="Arial" pitchFamily="34" charset="0"/>
              <a:cs typeface="Arial" pitchFamily="34" charset="0"/>
            </a:endParaRPr>
          </a:p>
        </xdr:txBody>
      </xdr:sp>
      <xdr:sp macro="" textlink="$B$289">
        <xdr:nvSpPr>
          <xdr:cNvPr id="45" name="SECTION_GROUP_SUBTITLE">
            <a:extLst>
              <a:ext uri="{FF2B5EF4-FFF2-40B4-BE49-F238E27FC236}">
                <a16:creationId xmlns:a16="http://schemas.microsoft.com/office/drawing/2014/main" id="{00000000-0008-0000-0200-00002D000000}"/>
              </a:ext>
            </a:extLst>
          </xdr:cNvPr>
          <xdr:cNvSpPr/>
        </xdr:nvSpPr>
        <xdr:spPr>
          <a:xfrm>
            <a:off x="9372598" y="17675184"/>
            <a:ext cx="7351776" cy="348502"/>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5E1D8D73-10B0-44C2-BCE0-01CD69C2B4F9}" type="TxLink">
              <a:rPr lang="en-US" sz="800" b="0" i="0" u="none" strike="noStrike">
                <a:solidFill>
                  <a:srgbClr val="000000"/>
                </a:solidFill>
                <a:latin typeface="Arial" pitchFamily="34" charset="0"/>
                <a:cs typeface="Arial" pitchFamily="34" charset="0"/>
              </a:rPr>
              <a:pPr algn="r"/>
              <a:t>Not Started</a:t>
            </a:fld>
            <a:endParaRPr lang="en-US" sz="1050" b="0" i="0">
              <a:latin typeface="Arial" pitchFamily="34" charset="0"/>
              <a:cs typeface="Arial" pitchFamily="34" charset="0"/>
            </a:endParaRPr>
          </a:p>
        </xdr:txBody>
      </xdr:sp>
      <xdr:sp macro="" textlink="">
        <xdr:nvSpPr>
          <xdr:cNvPr id="46" name="SECTION_GROUP_SUBTITLE_LABEL">
            <a:extLst>
              <a:ext uri="{FF2B5EF4-FFF2-40B4-BE49-F238E27FC236}">
                <a16:creationId xmlns:a16="http://schemas.microsoft.com/office/drawing/2014/main" id="{00000000-0008-0000-0200-00002E000000}"/>
              </a:ext>
            </a:extLst>
          </xdr:cNvPr>
          <xdr:cNvSpPr txBox="1"/>
        </xdr:nvSpPr>
        <xdr:spPr>
          <a:xfrm>
            <a:off x="15649576" y="17675184"/>
            <a:ext cx="476249" cy="348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oneCellAnchor>
    <xdr:from>
      <xdr:col>8</xdr:col>
      <xdr:colOff>219074</xdr:colOff>
      <xdr:row>12</xdr:row>
      <xdr:rowOff>9525</xdr:rowOff>
    </xdr:from>
    <xdr:ext cx="2295525" cy="264560"/>
    <xdr:sp macro="" textlink="$G$18">
      <xdr:nvSpPr>
        <xdr:cNvPr id="47" name="TOC_SECTION_LINK">
          <a:hlinkClick xmlns:r="http://schemas.openxmlformats.org/officeDocument/2006/relationships" r:id="rId7"/>
          <a:extLst>
            <a:ext uri="{FF2B5EF4-FFF2-40B4-BE49-F238E27FC236}">
              <a16:creationId xmlns:a16="http://schemas.microsoft.com/office/drawing/2014/main" id="{00000000-0008-0000-0200-00002F000000}"/>
            </a:ext>
          </a:extLst>
        </xdr:cNvPr>
        <xdr:cNvSpPr txBox="1"/>
      </xdr:nvSpPr>
      <xdr:spPr>
        <a:xfrm>
          <a:off x="8505824" y="2066925"/>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B36367EC-FE10-4F0D-9705-8C04301B182A}" type="TxLink">
            <a:rPr lang="en-US" sz="900" b="1" i="0" u="sng" strike="noStrike">
              <a:solidFill>
                <a:srgbClr val="376091"/>
              </a:solidFill>
              <a:latin typeface="Arial" pitchFamily="34" charset="0"/>
              <a:cs typeface="Arial" pitchFamily="34" charset="0"/>
            </a:rPr>
            <a:pPr algn="l"/>
            <a:t>Project Location</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8</xdr:col>
      <xdr:colOff>219074</xdr:colOff>
      <xdr:row>13</xdr:row>
      <xdr:rowOff>9525</xdr:rowOff>
    </xdr:from>
    <xdr:ext cx="2295525" cy="264560"/>
    <xdr:sp macro="" textlink="$G$37">
      <xdr:nvSpPr>
        <xdr:cNvPr id="48" name="TOC_SECTION_LINK">
          <a:hlinkClick xmlns:r="http://schemas.openxmlformats.org/officeDocument/2006/relationships" r:id="rId8"/>
          <a:extLst>
            <a:ext uri="{FF2B5EF4-FFF2-40B4-BE49-F238E27FC236}">
              <a16:creationId xmlns:a16="http://schemas.microsoft.com/office/drawing/2014/main" id="{00000000-0008-0000-0200-000030000000}"/>
            </a:ext>
          </a:extLst>
        </xdr:cNvPr>
        <xdr:cNvSpPr txBox="1"/>
      </xdr:nvSpPr>
      <xdr:spPr>
        <a:xfrm>
          <a:off x="8505824" y="2343150"/>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4DCA384B-5EF9-438B-BDEE-830B43662A16}" type="TxLink">
            <a:rPr lang="en-US" sz="900" b="1" i="0" u="sng" strike="noStrike">
              <a:solidFill>
                <a:srgbClr val="376091"/>
              </a:solidFill>
              <a:latin typeface="Arial" pitchFamily="34" charset="0"/>
              <a:cs typeface="Arial" pitchFamily="34" charset="0"/>
            </a:rPr>
            <a:pPr algn="l"/>
            <a:t>Member Information</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8</xdr:col>
      <xdr:colOff>219074</xdr:colOff>
      <xdr:row>14</xdr:row>
      <xdr:rowOff>9525</xdr:rowOff>
    </xdr:from>
    <xdr:ext cx="2295525" cy="264560"/>
    <xdr:sp macro="" textlink="$G$57">
      <xdr:nvSpPr>
        <xdr:cNvPr id="49" name="TOC_SECTION_LINK">
          <a:hlinkClick xmlns:r="http://schemas.openxmlformats.org/officeDocument/2006/relationships" r:id="rId9"/>
          <a:extLst>
            <a:ext uri="{FF2B5EF4-FFF2-40B4-BE49-F238E27FC236}">
              <a16:creationId xmlns:a16="http://schemas.microsoft.com/office/drawing/2014/main" id="{00000000-0008-0000-0200-000031000000}"/>
            </a:ext>
          </a:extLst>
        </xdr:cNvPr>
        <xdr:cNvSpPr txBox="1"/>
      </xdr:nvSpPr>
      <xdr:spPr>
        <a:xfrm>
          <a:off x="8505824" y="2619375"/>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999FB6D9-654B-4E79-AE1C-508CD6275AAB}" type="TxLink">
            <a:rPr lang="en-US" sz="900" b="1" i="0" u="sng" strike="noStrike">
              <a:solidFill>
                <a:srgbClr val="376091"/>
              </a:solidFill>
              <a:latin typeface="Arial" pitchFamily="34" charset="0"/>
              <a:cs typeface="Arial" pitchFamily="34" charset="0"/>
            </a:rPr>
            <a:pPr algn="l"/>
            <a:t>Sponsor Information</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8</xdr:col>
      <xdr:colOff>219074</xdr:colOff>
      <xdr:row>15</xdr:row>
      <xdr:rowOff>9525</xdr:rowOff>
    </xdr:from>
    <xdr:ext cx="2295525" cy="264560"/>
    <xdr:sp macro="" textlink="$G$77">
      <xdr:nvSpPr>
        <xdr:cNvPr id="50" name="TOC_SECTION_LINK">
          <a:hlinkClick xmlns:r="http://schemas.openxmlformats.org/officeDocument/2006/relationships" r:id="rId10"/>
          <a:extLst>
            <a:ext uri="{FF2B5EF4-FFF2-40B4-BE49-F238E27FC236}">
              <a16:creationId xmlns:a16="http://schemas.microsoft.com/office/drawing/2014/main" id="{00000000-0008-0000-0200-000032000000}"/>
            </a:ext>
          </a:extLst>
        </xdr:cNvPr>
        <xdr:cNvSpPr txBox="1"/>
      </xdr:nvSpPr>
      <xdr:spPr>
        <a:xfrm>
          <a:off x="8505824" y="2895600"/>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1B2EC8FB-E3C7-4AE2-B649-56BFEE21EA5B}" type="TxLink">
            <a:rPr lang="en-US" sz="900" b="1" i="0" u="sng" strike="noStrike">
              <a:solidFill>
                <a:srgbClr val="376091"/>
              </a:solidFill>
              <a:latin typeface="Arial" pitchFamily="34" charset="0"/>
              <a:cs typeface="Arial" pitchFamily="34" charset="0"/>
            </a:rPr>
            <a:pPr algn="l"/>
            <a:t>Subsidy Request</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8</xdr:col>
      <xdr:colOff>219074</xdr:colOff>
      <xdr:row>16</xdr:row>
      <xdr:rowOff>9525</xdr:rowOff>
    </xdr:from>
    <xdr:ext cx="2295525" cy="264560"/>
    <xdr:sp macro="" textlink="$G$108">
      <xdr:nvSpPr>
        <xdr:cNvPr id="51" name="TOC_SECTION_LINK">
          <a:hlinkClick xmlns:r="http://schemas.openxmlformats.org/officeDocument/2006/relationships" r:id="rId11"/>
          <a:extLst>
            <a:ext uri="{FF2B5EF4-FFF2-40B4-BE49-F238E27FC236}">
              <a16:creationId xmlns:a16="http://schemas.microsoft.com/office/drawing/2014/main" id="{00000000-0008-0000-0200-000033000000}"/>
            </a:ext>
          </a:extLst>
        </xdr:cNvPr>
        <xdr:cNvSpPr txBox="1"/>
      </xdr:nvSpPr>
      <xdr:spPr>
        <a:xfrm>
          <a:off x="8505824" y="3171825"/>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6FEB2BDD-4C7E-4C52-811C-18F2F4F6B702}" type="TxLink">
            <a:rPr lang="en-US" sz="900" b="1" i="0" u="sng" strike="noStrike">
              <a:solidFill>
                <a:srgbClr val="376091"/>
              </a:solidFill>
              <a:latin typeface="Arial" pitchFamily="34" charset="0"/>
              <a:cs typeface="Arial" pitchFamily="34" charset="0"/>
            </a:rPr>
            <a:pPr algn="l"/>
            <a:t>Webinars &amp; Technical Assistance</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8</xdr:col>
      <xdr:colOff>219074</xdr:colOff>
      <xdr:row>17</xdr:row>
      <xdr:rowOff>9525</xdr:rowOff>
    </xdr:from>
    <xdr:ext cx="2295525" cy="264560"/>
    <xdr:sp macro="" textlink="$G$125">
      <xdr:nvSpPr>
        <xdr:cNvPr id="52" name="TOC_SECTION_LINK">
          <a:hlinkClick xmlns:r="http://schemas.openxmlformats.org/officeDocument/2006/relationships" r:id="rId12"/>
          <a:extLst>
            <a:ext uri="{FF2B5EF4-FFF2-40B4-BE49-F238E27FC236}">
              <a16:creationId xmlns:a16="http://schemas.microsoft.com/office/drawing/2014/main" id="{00000000-0008-0000-0200-000034000000}"/>
            </a:ext>
          </a:extLst>
        </xdr:cNvPr>
        <xdr:cNvSpPr txBox="1"/>
      </xdr:nvSpPr>
      <xdr:spPr>
        <a:xfrm>
          <a:off x="8505824" y="3790950"/>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ACFE5EA6-B67D-4266-B01B-C0A750493FB1}" type="TxLink">
            <a:rPr lang="en-US" sz="900" b="1" i="0" u="sng" strike="noStrike">
              <a:solidFill>
                <a:srgbClr val="376091"/>
              </a:solidFill>
              <a:latin typeface="Arial" pitchFamily="34" charset="0"/>
              <a:cs typeface="Arial" pitchFamily="34" charset="0"/>
            </a:rPr>
            <a:pPr algn="l"/>
            <a:t>Project Type and Characteristics</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8</xdr:col>
      <xdr:colOff>219074</xdr:colOff>
      <xdr:row>19</xdr:row>
      <xdr:rowOff>9525</xdr:rowOff>
    </xdr:from>
    <xdr:ext cx="2295525" cy="264560"/>
    <xdr:sp macro="" textlink="$G$168">
      <xdr:nvSpPr>
        <xdr:cNvPr id="53" name="TOC_SECTION_LINK">
          <a:hlinkClick xmlns:r="http://schemas.openxmlformats.org/officeDocument/2006/relationships" r:id="rId13"/>
          <a:extLst>
            <a:ext uri="{FF2B5EF4-FFF2-40B4-BE49-F238E27FC236}">
              <a16:creationId xmlns:a16="http://schemas.microsoft.com/office/drawing/2014/main" id="{00000000-0008-0000-0200-000035000000}"/>
            </a:ext>
          </a:extLst>
        </xdr:cNvPr>
        <xdr:cNvSpPr txBox="1"/>
      </xdr:nvSpPr>
      <xdr:spPr>
        <a:xfrm>
          <a:off x="8505824" y="4343400"/>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932A2AD5-CB2A-40AB-8767-D3128A3ECAD6}" type="TxLink">
            <a:rPr lang="en-US" sz="900" b="1" i="0" u="sng" strike="noStrike">
              <a:solidFill>
                <a:srgbClr val="376091"/>
              </a:solidFill>
              <a:latin typeface="Arial" pitchFamily="34" charset="0"/>
              <a:cs typeface="Arial" pitchFamily="34" charset="0"/>
            </a:rPr>
            <a:pPr algn="l"/>
            <a:t>Timing and Use of Funds</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8</xdr:col>
      <xdr:colOff>219074</xdr:colOff>
      <xdr:row>20</xdr:row>
      <xdr:rowOff>9525</xdr:rowOff>
    </xdr:from>
    <xdr:ext cx="2295525" cy="264560"/>
    <xdr:sp macro="" textlink="$G$189">
      <xdr:nvSpPr>
        <xdr:cNvPr id="54" name="TOC_SECTION_LINK">
          <a:hlinkClick xmlns:r="http://schemas.openxmlformats.org/officeDocument/2006/relationships" r:id="rId14"/>
          <a:extLst>
            <a:ext uri="{FF2B5EF4-FFF2-40B4-BE49-F238E27FC236}">
              <a16:creationId xmlns:a16="http://schemas.microsoft.com/office/drawing/2014/main" id="{00000000-0008-0000-0200-000036000000}"/>
            </a:ext>
          </a:extLst>
        </xdr:cNvPr>
        <xdr:cNvSpPr txBox="1"/>
      </xdr:nvSpPr>
      <xdr:spPr>
        <a:xfrm>
          <a:off x="8505824" y="4619625"/>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CA7E30AF-044D-4C25-9B7B-25D1D4259CD4}" type="TxLink">
            <a:rPr lang="en-US" sz="900" b="1" i="0" u="sng" strike="noStrike">
              <a:solidFill>
                <a:srgbClr val="376091"/>
              </a:solidFill>
              <a:latin typeface="Arial" pitchFamily="34" charset="0"/>
              <a:cs typeface="Arial" pitchFamily="34" charset="0"/>
            </a:rPr>
            <a:pPr algn="l"/>
            <a:t>Member Involvement</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8</xdr:col>
      <xdr:colOff>219074</xdr:colOff>
      <xdr:row>21</xdr:row>
      <xdr:rowOff>9525</xdr:rowOff>
    </xdr:from>
    <xdr:ext cx="2295525" cy="264560"/>
    <xdr:sp macro="" textlink="$G$211">
      <xdr:nvSpPr>
        <xdr:cNvPr id="55" name="TOC_SECTION_LINK">
          <a:hlinkClick xmlns:r="http://schemas.openxmlformats.org/officeDocument/2006/relationships" r:id="rId15"/>
          <a:extLst>
            <a:ext uri="{FF2B5EF4-FFF2-40B4-BE49-F238E27FC236}">
              <a16:creationId xmlns:a16="http://schemas.microsoft.com/office/drawing/2014/main" id="{00000000-0008-0000-0200-000037000000}"/>
            </a:ext>
          </a:extLst>
        </xdr:cNvPr>
        <xdr:cNvSpPr txBox="1"/>
      </xdr:nvSpPr>
      <xdr:spPr>
        <a:xfrm>
          <a:off x="8505824" y="4895850"/>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5A41FB83-0E20-4EAD-974E-6EA353BB4341}" type="TxLink">
            <a:rPr lang="en-US" sz="900" b="1" i="0" u="sng" strike="noStrike">
              <a:solidFill>
                <a:srgbClr val="376091"/>
              </a:solidFill>
              <a:latin typeface="Arial" pitchFamily="34" charset="0"/>
              <a:cs typeface="Arial" pitchFamily="34" charset="0"/>
            </a:rPr>
            <a:pPr algn="l"/>
            <a:t>Project Sponsor Profile</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8</xdr:col>
      <xdr:colOff>219074</xdr:colOff>
      <xdr:row>22</xdr:row>
      <xdr:rowOff>9525</xdr:rowOff>
    </xdr:from>
    <xdr:ext cx="2295525" cy="264560"/>
    <xdr:sp macro="" textlink="$G$232">
      <xdr:nvSpPr>
        <xdr:cNvPr id="56" name="TOC_SECTION_LINK">
          <a:hlinkClick xmlns:r="http://schemas.openxmlformats.org/officeDocument/2006/relationships" r:id="rId16"/>
          <a:extLst>
            <a:ext uri="{FF2B5EF4-FFF2-40B4-BE49-F238E27FC236}">
              <a16:creationId xmlns:a16="http://schemas.microsoft.com/office/drawing/2014/main" id="{00000000-0008-0000-0200-000038000000}"/>
            </a:ext>
          </a:extLst>
        </xdr:cNvPr>
        <xdr:cNvSpPr txBox="1"/>
      </xdr:nvSpPr>
      <xdr:spPr>
        <a:xfrm>
          <a:off x="8505824" y="5172075"/>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B737160E-8899-4B7B-B5ED-D2872280BEC8}" type="TxLink">
            <a:rPr lang="en-US" sz="900" b="1" i="0" u="sng" strike="noStrike">
              <a:solidFill>
                <a:srgbClr val="376091"/>
              </a:solidFill>
              <a:latin typeface="Arial" pitchFamily="34" charset="0"/>
              <a:cs typeface="Arial" pitchFamily="34" charset="0"/>
            </a:rPr>
            <a:pPr algn="l"/>
            <a:t>Development Partner(s)</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16</xdr:col>
      <xdr:colOff>314325</xdr:colOff>
      <xdr:row>13</xdr:row>
      <xdr:rowOff>9525</xdr:rowOff>
    </xdr:from>
    <xdr:ext cx="2181225" cy="264560"/>
    <xdr:sp macro="" textlink="$AC$14">
      <xdr:nvSpPr>
        <xdr:cNvPr id="58" name="TOC_SECTION_LINK">
          <a:hlinkClick xmlns:r="http://schemas.openxmlformats.org/officeDocument/2006/relationships" r:id="rId17"/>
          <a:extLst>
            <a:ext uri="{FF2B5EF4-FFF2-40B4-BE49-F238E27FC236}">
              <a16:creationId xmlns:a16="http://schemas.microsoft.com/office/drawing/2014/main" id="{00000000-0008-0000-0200-00003A000000}"/>
            </a:ext>
          </a:extLst>
        </xdr:cNvPr>
        <xdr:cNvSpPr txBox="1"/>
      </xdr:nvSpPr>
      <xdr:spPr>
        <a:xfrm>
          <a:off x="12182475" y="2743200"/>
          <a:ext cx="2181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3760868B-11EA-4894-B23F-AD03EDC649B4}" type="TxLink">
            <a:rPr lang="en-US" sz="900" b="1" i="0" u="sng" strike="noStrike">
              <a:solidFill>
                <a:srgbClr val="366092"/>
              </a:solidFill>
              <a:latin typeface="Arial"/>
              <a:cs typeface="Arial"/>
            </a:rPr>
            <a:pPr algn="l"/>
            <a:t>Donated or Conveyed Property</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twoCellAnchor editAs="oneCell">
    <xdr:from>
      <xdr:col>7</xdr:col>
      <xdr:colOff>66676</xdr:colOff>
      <xdr:row>26</xdr:row>
      <xdr:rowOff>247648</xdr:rowOff>
    </xdr:from>
    <xdr:to>
      <xdr:col>24</xdr:col>
      <xdr:colOff>104775</xdr:colOff>
      <xdr:row>39</xdr:row>
      <xdr:rowOff>57148</xdr:rowOff>
    </xdr:to>
    <xdr:grpSp>
      <xdr:nvGrpSpPr>
        <xdr:cNvPr id="59" name="SECTION_GROUP">
          <a:extLst>
            <a:ext uri="{FF2B5EF4-FFF2-40B4-BE49-F238E27FC236}">
              <a16:creationId xmlns:a16="http://schemas.microsoft.com/office/drawing/2014/main" id="{00000000-0008-0000-0200-00003B000000}"/>
            </a:ext>
          </a:extLst>
        </xdr:cNvPr>
        <xdr:cNvGrpSpPr/>
      </xdr:nvGrpSpPr>
      <xdr:grpSpPr>
        <a:xfrm>
          <a:off x="66676" y="6572248"/>
          <a:ext cx="7362824" cy="3400425"/>
          <a:chOff x="9363075" y="17306809"/>
          <a:chExt cx="7362825" cy="3660300"/>
        </a:xfrm>
      </xdr:grpSpPr>
      <xdr:sp macro="" textlink="$B$18">
        <xdr:nvSpPr>
          <xdr:cNvPr id="60" name="SECTION_GROUP_TITLE">
            <a:extLst>
              <a:ext uri="{FF2B5EF4-FFF2-40B4-BE49-F238E27FC236}">
                <a16:creationId xmlns:a16="http://schemas.microsoft.com/office/drawing/2014/main" id="{00000000-0008-0000-0200-00003C00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899A1D4F-4C92-4DE6-BC55-EDAE75C132C9}" type="TxLink">
              <a:rPr lang="en-US" sz="1000" b="1" i="0" u="none" strike="noStrike">
                <a:solidFill>
                  <a:srgbClr val="FFFFFF"/>
                </a:solidFill>
                <a:latin typeface="Arial" pitchFamily="34" charset="0"/>
                <a:cs typeface="Arial" pitchFamily="34" charset="0"/>
              </a:rPr>
              <a:pPr algn="l"/>
              <a:t>Project Location</a:t>
            </a:fld>
            <a:endParaRPr lang="en-US" sz="1000" b="1" i="0" u="none" strike="noStrike">
              <a:solidFill>
                <a:schemeClr val="bg1"/>
              </a:solidFill>
              <a:latin typeface="Arial" pitchFamily="34" charset="0"/>
              <a:cs typeface="Arial" pitchFamily="34" charset="0"/>
            </a:endParaRPr>
          </a:p>
        </xdr:txBody>
      </xdr:sp>
      <xdr:sp macro="" textlink="">
        <xdr:nvSpPr>
          <xdr:cNvPr id="61" name="SECTION_GROUP_FRAME">
            <a:extLst>
              <a:ext uri="{FF2B5EF4-FFF2-40B4-BE49-F238E27FC236}">
                <a16:creationId xmlns:a16="http://schemas.microsoft.com/office/drawing/2014/main" id="{00000000-0008-0000-0200-00003D000000}"/>
              </a:ext>
            </a:extLst>
          </xdr:cNvPr>
          <xdr:cNvSpPr/>
        </xdr:nvSpPr>
        <xdr:spPr>
          <a:xfrm>
            <a:off x="9363075" y="17641465"/>
            <a:ext cx="7362825" cy="3325644"/>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32">
        <xdr:nvSpPr>
          <xdr:cNvPr id="62" name="SECTION_GROUP_SUBTITLE">
            <a:extLst>
              <a:ext uri="{FF2B5EF4-FFF2-40B4-BE49-F238E27FC236}">
                <a16:creationId xmlns:a16="http://schemas.microsoft.com/office/drawing/2014/main" id="{00000000-0008-0000-0200-00003E00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4E5E8887-BB8B-4361-A6F3-0A9EFAC41882}" type="TxLink">
              <a:rPr lang="en-US" sz="800" b="0" i="0" u="none" strike="noStrike">
                <a:solidFill>
                  <a:srgbClr val="000000"/>
                </a:solidFill>
                <a:latin typeface="Arial" pitchFamily="34" charset="0"/>
                <a:cs typeface="Arial" pitchFamily="34" charset="0"/>
              </a:rPr>
              <a:pPr algn="r"/>
              <a:t>Not Started</a:t>
            </a:fld>
            <a:endParaRPr lang="en-US" sz="1050" b="0" i="0">
              <a:latin typeface="Arial" pitchFamily="34" charset="0"/>
              <a:cs typeface="Arial" pitchFamily="34" charset="0"/>
            </a:endParaRPr>
          </a:p>
        </xdr:txBody>
      </xdr:sp>
      <xdr:sp macro="" textlink="">
        <xdr:nvSpPr>
          <xdr:cNvPr id="63" name="SECTION_GROUP_SUBTITLE_LABEL">
            <a:extLst>
              <a:ext uri="{FF2B5EF4-FFF2-40B4-BE49-F238E27FC236}">
                <a16:creationId xmlns:a16="http://schemas.microsoft.com/office/drawing/2014/main" id="{00000000-0008-0000-0200-00003F000000}"/>
              </a:ext>
            </a:extLst>
          </xdr:cNvPr>
          <xdr:cNvSpPr txBox="1"/>
        </xdr:nvSpPr>
        <xdr:spPr>
          <a:xfrm>
            <a:off x="15621001"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66676</xdr:colOff>
      <xdr:row>39</xdr:row>
      <xdr:rowOff>238126</xdr:rowOff>
    </xdr:from>
    <xdr:to>
      <xdr:col>24</xdr:col>
      <xdr:colOff>104775</xdr:colOff>
      <xdr:row>52</xdr:row>
      <xdr:rowOff>57151</xdr:rowOff>
    </xdr:to>
    <xdr:grpSp>
      <xdr:nvGrpSpPr>
        <xdr:cNvPr id="64" name="SECTION_GROUP">
          <a:extLst>
            <a:ext uri="{FF2B5EF4-FFF2-40B4-BE49-F238E27FC236}">
              <a16:creationId xmlns:a16="http://schemas.microsoft.com/office/drawing/2014/main" id="{00000000-0008-0000-0200-000040000000}"/>
            </a:ext>
          </a:extLst>
        </xdr:cNvPr>
        <xdr:cNvGrpSpPr/>
      </xdr:nvGrpSpPr>
      <xdr:grpSpPr>
        <a:xfrm>
          <a:off x="66676" y="10153651"/>
          <a:ext cx="7362824" cy="3409950"/>
          <a:chOff x="9363075" y="17306809"/>
          <a:chExt cx="7362825" cy="3670552"/>
        </a:xfrm>
      </xdr:grpSpPr>
      <xdr:sp macro="" textlink="$B$37">
        <xdr:nvSpPr>
          <xdr:cNvPr id="65" name="SECTION_GROUP_TITLE">
            <a:extLst>
              <a:ext uri="{FF2B5EF4-FFF2-40B4-BE49-F238E27FC236}">
                <a16:creationId xmlns:a16="http://schemas.microsoft.com/office/drawing/2014/main" id="{00000000-0008-0000-0200-00004100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FADD5778-91AA-44F8-8001-44AAEBEBC650}" type="TxLink">
              <a:rPr lang="en-US" sz="1000" b="1" i="0" u="none" strike="noStrike">
                <a:solidFill>
                  <a:srgbClr val="FFFFFF"/>
                </a:solidFill>
                <a:latin typeface="Arial" pitchFamily="34" charset="0"/>
                <a:cs typeface="Arial" pitchFamily="34" charset="0"/>
              </a:rPr>
              <a:pPr algn="l"/>
              <a:t>Member Information</a:t>
            </a:fld>
            <a:endParaRPr lang="en-US" sz="1000" b="1" i="0" u="none" strike="noStrike">
              <a:solidFill>
                <a:schemeClr val="bg1"/>
              </a:solidFill>
              <a:latin typeface="Arial" pitchFamily="34" charset="0"/>
              <a:cs typeface="Arial" pitchFamily="34" charset="0"/>
            </a:endParaRPr>
          </a:p>
        </xdr:txBody>
      </xdr:sp>
      <xdr:sp macro="" textlink="">
        <xdr:nvSpPr>
          <xdr:cNvPr id="66" name="SECTION_GROUP_FRAME">
            <a:extLst>
              <a:ext uri="{FF2B5EF4-FFF2-40B4-BE49-F238E27FC236}">
                <a16:creationId xmlns:a16="http://schemas.microsoft.com/office/drawing/2014/main" id="{00000000-0008-0000-0200-000042000000}"/>
              </a:ext>
            </a:extLst>
          </xdr:cNvPr>
          <xdr:cNvSpPr/>
        </xdr:nvSpPr>
        <xdr:spPr>
          <a:xfrm>
            <a:off x="9363075" y="17641465"/>
            <a:ext cx="7362825" cy="3335896"/>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52">
        <xdr:nvSpPr>
          <xdr:cNvPr id="67" name="SECTION_GROUP_SUBTITLE">
            <a:extLst>
              <a:ext uri="{FF2B5EF4-FFF2-40B4-BE49-F238E27FC236}">
                <a16:creationId xmlns:a16="http://schemas.microsoft.com/office/drawing/2014/main" id="{00000000-0008-0000-0200-00004300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E4C9922D-EDFB-48CE-9854-C5ED57C564A4}" type="TxLink">
              <a:rPr lang="en-US" sz="800" b="0" i="0" u="none" strike="noStrike">
                <a:solidFill>
                  <a:srgbClr val="000000"/>
                </a:solidFill>
                <a:latin typeface="Arial" pitchFamily="34" charset="0"/>
                <a:cs typeface="Arial" pitchFamily="34" charset="0"/>
              </a:rPr>
              <a:pPr algn="r"/>
              <a:t>Not Started</a:t>
            </a:fld>
            <a:endParaRPr lang="en-US" sz="1050" b="0" i="0">
              <a:latin typeface="Arial" pitchFamily="34" charset="0"/>
              <a:cs typeface="Arial" pitchFamily="34" charset="0"/>
            </a:endParaRPr>
          </a:p>
        </xdr:txBody>
      </xdr:sp>
      <xdr:sp macro="" textlink="">
        <xdr:nvSpPr>
          <xdr:cNvPr id="68" name="SECTION_GROUP_SUBTITLE_LABEL">
            <a:extLst>
              <a:ext uri="{FF2B5EF4-FFF2-40B4-BE49-F238E27FC236}">
                <a16:creationId xmlns:a16="http://schemas.microsoft.com/office/drawing/2014/main" id="{00000000-0008-0000-0200-000044000000}"/>
              </a:ext>
            </a:extLst>
          </xdr:cNvPr>
          <xdr:cNvSpPr txBox="1"/>
        </xdr:nvSpPr>
        <xdr:spPr>
          <a:xfrm>
            <a:off x="15621001" y="17650982"/>
            <a:ext cx="476249" cy="2939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66676</xdr:colOff>
      <xdr:row>52</xdr:row>
      <xdr:rowOff>238127</xdr:rowOff>
    </xdr:from>
    <xdr:to>
      <xdr:col>24</xdr:col>
      <xdr:colOff>104775</xdr:colOff>
      <xdr:row>65</xdr:row>
      <xdr:rowOff>57151</xdr:rowOff>
    </xdr:to>
    <xdr:grpSp>
      <xdr:nvGrpSpPr>
        <xdr:cNvPr id="69" name="SECTION_GROUP">
          <a:extLst>
            <a:ext uri="{FF2B5EF4-FFF2-40B4-BE49-F238E27FC236}">
              <a16:creationId xmlns:a16="http://schemas.microsoft.com/office/drawing/2014/main" id="{00000000-0008-0000-0200-000045000000}"/>
            </a:ext>
          </a:extLst>
        </xdr:cNvPr>
        <xdr:cNvGrpSpPr/>
      </xdr:nvGrpSpPr>
      <xdr:grpSpPr>
        <a:xfrm>
          <a:off x="66676" y="13744577"/>
          <a:ext cx="7362824" cy="3409949"/>
          <a:chOff x="9363075" y="17306809"/>
          <a:chExt cx="7362825" cy="3670551"/>
        </a:xfrm>
      </xdr:grpSpPr>
      <xdr:sp macro="" textlink="$B$57">
        <xdr:nvSpPr>
          <xdr:cNvPr id="70" name="SECTION_GROUP_TITLE">
            <a:extLst>
              <a:ext uri="{FF2B5EF4-FFF2-40B4-BE49-F238E27FC236}">
                <a16:creationId xmlns:a16="http://schemas.microsoft.com/office/drawing/2014/main" id="{00000000-0008-0000-0200-00004600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15D0AF0E-AE2D-4DC3-92BC-A01C7728A6D3}" type="TxLink">
              <a:rPr lang="en-US" sz="1000" b="1" i="0" u="none" strike="noStrike">
                <a:solidFill>
                  <a:srgbClr val="FFFFFF"/>
                </a:solidFill>
                <a:latin typeface="Arial" pitchFamily="34" charset="0"/>
                <a:cs typeface="Arial" pitchFamily="34" charset="0"/>
              </a:rPr>
              <a:pPr algn="l"/>
              <a:t>Sponsor Information</a:t>
            </a:fld>
            <a:endParaRPr lang="en-US" sz="1000" b="1" i="0" u="none" strike="noStrike">
              <a:solidFill>
                <a:schemeClr val="bg1"/>
              </a:solidFill>
              <a:latin typeface="Arial" pitchFamily="34" charset="0"/>
              <a:cs typeface="Arial" pitchFamily="34" charset="0"/>
            </a:endParaRPr>
          </a:p>
        </xdr:txBody>
      </xdr:sp>
      <xdr:sp macro="" textlink="">
        <xdr:nvSpPr>
          <xdr:cNvPr id="71" name="SECTION_GROUP_FRAME">
            <a:extLst>
              <a:ext uri="{FF2B5EF4-FFF2-40B4-BE49-F238E27FC236}">
                <a16:creationId xmlns:a16="http://schemas.microsoft.com/office/drawing/2014/main" id="{00000000-0008-0000-0200-000047000000}"/>
              </a:ext>
            </a:extLst>
          </xdr:cNvPr>
          <xdr:cNvSpPr/>
        </xdr:nvSpPr>
        <xdr:spPr>
          <a:xfrm>
            <a:off x="9363075" y="17641465"/>
            <a:ext cx="7362825" cy="3335895"/>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72">
        <xdr:nvSpPr>
          <xdr:cNvPr id="72" name="SECTION_GROUP_SUBTITLE">
            <a:extLst>
              <a:ext uri="{FF2B5EF4-FFF2-40B4-BE49-F238E27FC236}">
                <a16:creationId xmlns:a16="http://schemas.microsoft.com/office/drawing/2014/main" id="{00000000-0008-0000-0200-00004800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42F4773F-DAE3-414B-A7BE-AACBEA5DAC9E}" type="TxLink">
              <a:rPr lang="en-US" sz="800" b="0" i="0" u="none" strike="noStrike">
                <a:solidFill>
                  <a:srgbClr val="000000"/>
                </a:solidFill>
                <a:latin typeface="Arial" pitchFamily="34" charset="0"/>
                <a:cs typeface="Arial" pitchFamily="34" charset="0"/>
              </a:rPr>
              <a:pPr algn="r"/>
              <a:t>Not Started</a:t>
            </a:fld>
            <a:endParaRPr lang="en-US" sz="1050" b="0" i="0">
              <a:latin typeface="Arial" pitchFamily="34" charset="0"/>
              <a:cs typeface="Arial" pitchFamily="34" charset="0"/>
            </a:endParaRPr>
          </a:p>
        </xdr:txBody>
      </xdr:sp>
      <xdr:sp macro="" textlink="">
        <xdr:nvSpPr>
          <xdr:cNvPr id="73" name="SECTION_GROUP_SUBTITLE_LABEL">
            <a:extLst>
              <a:ext uri="{FF2B5EF4-FFF2-40B4-BE49-F238E27FC236}">
                <a16:creationId xmlns:a16="http://schemas.microsoft.com/office/drawing/2014/main" id="{00000000-0008-0000-0200-000049000000}"/>
              </a:ext>
            </a:extLst>
          </xdr:cNvPr>
          <xdr:cNvSpPr txBox="1"/>
        </xdr:nvSpPr>
        <xdr:spPr>
          <a:xfrm>
            <a:off x="15630526" y="17650982"/>
            <a:ext cx="476249" cy="2939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66676</xdr:colOff>
      <xdr:row>65</xdr:row>
      <xdr:rowOff>257176</xdr:rowOff>
    </xdr:from>
    <xdr:to>
      <xdr:col>24</xdr:col>
      <xdr:colOff>104775</xdr:colOff>
      <xdr:row>92</xdr:row>
      <xdr:rowOff>57150</xdr:rowOff>
    </xdr:to>
    <xdr:grpSp>
      <xdr:nvGrpSpPr>
        <xdr:cNvPr id="74" name="SECTION_GROUP">
          <a:extLst>
            <a:ext uri="{FF2B5EF4-FFF2-40B4-BE49-F238E27FC236}">
              <a16:creationId xmlns:a16="http://schemas.microsoft.com/office/drawing/2014/main" id="{00000000-0008-0000-0200-00004A000000}"/>
            </a:ext>
          </a:extLst>
        </xdr:cNvPr>
        <xdr:cNvGrpSpPr/>
      </xdr:nvGrpSpPr>
      <xdr:grpSpPr>
        <a:xfrm>
          <a:off x="66676" y="17354551"/>
          <a:ext cx="7362824" cy="7258049"/>
          <a:chOff x="9363075" y="17306809"/>
          <a:chExt cx="7362825" cy="8140834"/>
        </a:xfrm>
      </xdr:grpSpPr>
      <xdr:sp macro="" textlink="$B$77">
        <xdr:nvSpPr>
          <xdr:cNvPr id="75" name="SECTION_GROUP_TITLE">
            <a:extLst>
              <a:ext uri="{FF2B5EF4-FFF2-40B4-BE49-F238E27FC236}">
                <a16:creationId xmlns:a16="http://schemas.microsoft.com/office/drawing/2014/main" id="{00000000-0008-0000-0200-00004B00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2224AD2D-083F-4D30-AEF1-F9B397C041A1}" type="TxLink">
              <a:rPr lang="en-US" sz="1000" b="1" i="0" u="none" strike="noStrike">
                <a:solidFill>
                  <a:srgbClr val="FFFFFF"/>
                </a:solidFill>
                <a:latin typeface="Arial" pitchFamily="34" charset="0"/>
                <a:cs typeface="Arial" pitchFamily="34" charset="0"/>
              </a:rPr>
              <a:pPr algn="l"/>
              <a:t>Subsidy Request</a:t>
            </a:fld>
            <a:endParaRPr lang="en-US" sz="1000" b="1" i="0" u="none" strike="noStrike">
              <a:solidFill>
                <a:schemeClr val="bg1"/>
              </a:solidFill>
              <a:latin typeface="Arial" pitchFamily="34" charset="0"/>
              <a:cs typeface="Arial" pitchFamily="34" charset="0"/>
            </a:endParaRPr>
          </a:p>
        </xdr:txBody>
      </xdr:sp>
      <xdr:sp macro="" textlink="">
        <xdr:nvSpPr>
          <xdr:cNvPr id="76" name="SECTION_GROUP_FRAME">
            <a:extLst>
              <a:ext uri="{FF2B5EF4-FFF2-40B4-BE49-F238E27FC236}">
                <a16:creationId xmlns:a16="http://schemas.microsoft.com/office/drawing/2014/main" id="{00000000-0008-0000-0200-00004C000000}"/>
              </a:ext>
            </a:extLst>
          </xdr:cNvPr>
          <xdr:cNvSpPr/>
        </xdr:nvSpPr>
        <xdr:spPr>
          <a:xfrm>
            <a:off x="9363075" y="17641465"/>
            <a:ext cx="7362825" cy="7806178"/>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103">
        <xdr:nvSpPr>
          <xdr:cNvPr id="77" name="SECTION_GROUP_SUBTITLE">
            <a:extLst>
              <a:ext uri="{FF2B5EF4-FFF2-40B4-BE49-F238E27FC236}">
                <a16:creationId xmlns:a16="http://schemas.microsoft.com/office/drawing/2014/main" id="{00000000-0008-0000-0200-00004D00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2E256CE4-A9D8-4564-AAAE-F75FA0A9347B}" type="TxLink">
              <a:rPr lang="en-US" sz="800" b="0" i="0" u="none" strike="noStrike">
                <a:solidFill>
                  <a:srgbClr val="000000"/>
                </a:solidFill>
                <a:latin typeface="Arial" pitchFamily="34" charset="0"/>
                <a:cs typeface="Arial" pitchFamily="34" charset="0"/>
              </a:rPr>
              <a:pPr algn="r"/>
              <a:t>Not Started</a:t>
            </a:fld>
            <a:endParaRPr lang="en-US" sz="1050" b="0" i="0">
              <a:latin typeface="Arial" pitchFamily="34" charset="0"/>
              <a:cs typeface="Arial" pitchFamily="34" charset="0"/>
            </a:endParaRPr>
          </a:p>
        </xdr:txBody>
      </xdr:sp>
      <xdr:sp macro="" textlink="">
        <xdr:nvSpPr>
          <xdr:cNvPr id="78" name="SECTION_GROUP_SUBTITLE_LABEL">
            <a:extLst>
              <a:ext uri="{FF2B5EF4-FFF2-40B4-BE49-F238E27FC236}">
                <a16:creationId xmlns:a16="http://schemas.microsoft.com/office/drawing/2014/main" id="{00000000-0008-0000-0200-00004E000000}"/>
              </a:ext>
            </a:extLst>
          </xdr:cNvPr>
          <xdr:cNvSpPr txBox="1"/>
        </xdr:nvSpPr>
        <xdr:spPr>
          <a:xfrm>
            <a:off x="15630526"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66676</xdr:colOff>
      <xdr:row>92</xdr:row>
      <xdr:rowOff>247651</xdr:rowOff>
    </xdr:from>
    <xdr:to>
      <xdr:col>24</xdr:col>
      <xdr:colOff>104775</xdr:colOff>
      <xdr:row>106</xdr:row>
      <xdr:rowOff>47626</xdr:rowOff>
    </xdr:to>
    <xdr:grpSp>
      <xdr:nvGrpSpPr>
        <xdr:cNvPr id="79" name="SECTION_GROUP">
          <a:extLst>
            <a:ext uri="{FF2B5EF4-FFF2-40B4-BE49-F238E27FC236}">
              <a16:creationId xmlns:a16="http://schemas.microsoft.com/office/drawing/2014/main" id="{00000000-0008-0000-0200-00004F000000}"/>
            </a:ext>
          </a:extLst>
        </xdr:cNvPr>
        <xdr:cNvGrpSpPr/>
      </xdr:nvGrpSpPr>
      <xdr:grpSpPr>
        <a:xfrm>
          <a:off x="66676" y="24803101"/>
          <a:ext cx="7362824" cy="3667125"/>
          <a:chOff x="9363075" y="17306809"/>
          <a:chExt cx="7362825" cy="3947382"/>
        </a:xfrm>
      </xdr:grpSpPr>
      <xdr:sp macro="" textlink="">
        <xdr:nvSpPr>
          <xdr:cNvPr id="80" name="SECTION_GROUP_FRAME">
            <a:extLst>
              <a:ext uri="{FF2B5EF4-FFF2-40B4-BE49-F238E27FC236}">
                <a16:creationId xmlns:a16="http://schemas.microsoft.com/office/drawing/2014/main" id="{00000000-0008-0000-0200-000050000000}"/>
              </a:ext>
            </a:extLst>
          </xdr:cNvPr>
          <xdr:cNvSpPr/>
        </xdr:nvSpPr>
        <xdr:spPr>
          <a:xfrm>
            <a:off x="9363075" y="17641465"/>
            <a:ext cx="7362825" cy="3612726"/>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108">
        <xdr:nvSpPr>
          <xdr:cNvPr id="81" name="SECTION_GROUP_TITLE">
            <a:extLst>
              <a:ext uri="{FF2B5EF4-FFF2-40B4-BE49-F238E27FC236}">
                <a16:creationId xmlns:a16="http://schemas.microsoft.com/office/drawing/2014/main" id="{00000000-0008-0000-0200-00005100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20C6431E-2C4B-4CE9-B3EC-1E65E52945D1}" type="TxLink">
              <a:rPr lang="en-US" sz="1000" b="1" i="0" u="none" strike="noStrike">
                <a:solidFill>
                  <a:srgbClr val="FFFFFF"/>
                </a:solidFill>
                <a:latin typeface="Arial" pitchFamily="34" charset="0"/>
                <a:cs typeface="Arial" pitchFamily="34" charset="0"/>
              </a:rPr>
              <a:pPr algn="l"/>
              <a:t>Application Webinars and Technical Assistance</a:t>
            </a:fld>
            <a:endParaRPr lang="en-US" sz="1000" b="1" i="0" u="none" strike="noStrike">
              <a:solidFill>
                <a:schemeClr val="bg1"/>
              </a:solidFill>
              <a:latin typeface="Arial" pitchFamily="34" charset="0"/>
              <a:cs typeface="Arial" pitchFamily="34" charset="0"/>
            </a:endParaRPr>
          </a:p>
        </xdr:txBody>
      </xdr:sp>
      <xdr:sp macro="" textlink="$B$120">
        <xdr:nvSpPr>
          <xdr:cNvPr id="82" name="SECTION_GROUP_SUBTITLE">
            <a:extLst>
              <a:ext uri="{FF2B5EF4-FFF2-40B4-BE49-F238E27FC236}">
                <a16:creationId xmlns:a16="http://schemas.microsoft.com/office/drawing/2014/main" id="{00000000-0008-0000-0200-00005200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3DD97D7A-A00C-423A-A86E-1D08840F2B2F}" type="TxLink">
              <a:rPr lang="en-US" sz="800" b="0" i="0" u="none" strike="noStrike">
                <a:solidFill>
                  <a:srgbClr val="000000"/>
                </a:solidFill>
                <a:latin typeface="Arial" pitchFamily="34" charset="0"/>
                <a:cs typeface="Arial" pitchFamily="34" charset="0"/>
              </a:rPr>
              <a:pPr algn="r"/>
              <a:t>Not Started</a:t>
            </a:fld>
            <a:endParaRPr lang="en-US" sz="1050" b="0" i="0">
              <a:latin typeface="Arial" pitchFamily="34" charset="0"/>
              <a:cs typeface="Arial" pitchFamily="34" charset="0"/>
            </a:endParaRPr>
          </a:p>
        </xdr:txBody>
      </xdr:sp>
      <xdr:sp macro="" textlink="">
        <xdr:nvSpPr>
          <xdr:cNvPr id="83" name="SECTION_GROUP_SUBTITLE_LABEL">
            <a:extLst>
              <a:ext uri="{FF2B5EF4-FFF2-40B4-BE49-F238E27FC236}">
                <a16:creationId xmlns:a16="http://schemas.microsoft.com/office/drawing/2014/main" id="{00000000-0008-0000-0200-000053000000}"/>
              </a:ext>
            </a:extLst>
          </xdr:cNvPr>
          <xdr:cNvSpPr txBox="1"/>
        </xdr:nvSpPr>
        <xdr:spPr>
          <a:xfrm>
            <a:off x="15621001" y="17640729"/>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66676</xdr:colOff>
      <xdr:row>106</xdr:row>
      <xdr:rowOff>238123</xdr:rowOff>
    </xdr:from>
    <xdr:to>
      <xdr:col>24</xdr:col>
      <xdr:colOff>104775</xdr:colOff>
      <xdr:row>206</xdr:row>
      <xdr:rowOff>114299</xdr:rowOff>
    </xdr:to>
    <xdr:grpSp>
      <xdr:nvGrpSpPr>
        <xdr:cNvPr id="84" name="SECTION_GROUP">
          <a:extLst>
            <a:ext uri="{FF2B5EF4-FFF2-40B4-BE49-F238E27FC236}">
              <a16:creationId xmlns:a16="http://schemas.microsoft.com/office/drawing/2014/main" id="{00000000-0008-0000-0200-000054000000}"/>
            </a:ext>
          </a:extLst>
        </xdr:cNvPr>
        <xdr:cNvGrpSpPr/>
      </xdr:nvGrpSpPr>
      <xdr:grpSpPr>
        <a:xfrm>
          <a:off x="66676" y="28660723"/>
          <a:ext cx="7362824" cy="27498676"/>
          <a:chOff x="9363075" y="17306808"/>
          <a:chExt cx="7362825" cy="36359550"/>
        </a:xfrm>
      </xdr:grpSpPr>
      <xdr:sp macro="" textlink="">
        <xdr:nvSpPr>
          <xdr:cNvPr id="85" name="SECTION_GROUP_FRAME">
            <a:extLst>
              <a:ext uri="{FF2B5EF4-FFF2-40B4-BE49-F238E27FC236}">
                <a16:creationId xmlns:a16="http://schemas.microsoft.com/office/drawing/2014/main" id="{00000000-0008-0000-0200-000055000000}"/>
              </a:ext>
            </a:extLst>
          </xdr:cNvPr>
          <xdr:cNvSpPr/>
        </xdr:nvSpPr>
        <xdr:spPr>
          <a:xfrm>
            <a:off x="9363075" y="17641463"/>
            <a:ext cx="7362825" cy="36024895"/>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125">
        <xdr:nvSpPr>
          <xdr:cNvPr id="86" name="SECTION_GROUP_TITLE">
            <a:extLst>
              <a:ext uri="{FF2B5EF4-FFF2-40B4-BE49-F238E27FC236}">
                <a16:creationId xmlns:a16="http://schemas.microsoft.com/office/drawing/2014/main" id="{00000000-0008-0000-0200-000056000000}"/>
              </a:ext>
            </a:extLst>
          </xdr:cNvPr>
          <xdr:cNvSpPr/>
        </xdr:nvSpPr>
        <xdr:spPr>
          <a:xfrm>
            <a:off x="9363075" y="17306808"/>
            <a:ext cx="7360920" cy="411076"/>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83FA5200-DDEA-40AA-A4B9-290293E3E040}" type="TxLink">
              <a:rPr lang="en-US" sz="1000" b="1" i="0" u="none" strike="noStrike">
                <a:solidFill>
                  <a:srgbClr val="FFFFFF"/>
                </a:solidFill>
                <a:latin typeface="Arial" pitchFamily="34" charset="0"/>
                <a:cs typeface="Arial" pitchFamily="34" charset="0"/>
              </a:rPr>
              <a:pPr algn="l"/>
              <a:t>Project Type and Characteristics</a:t>
            </a:fld>
            <a:endParaRPr lang="en-US" sz="1000" b="1" i="0" u="none" strike="noStrike">
              <a:solidFill>
                <a:schemeClr val="bg1"/>
              </a:solidFill>
              <a:latin typeface="Arial" pitchFamily="34" charset="0"/>
              <a:cs typeface="Arial" pitchFamily="34" charset="0"/>
            </a:endParaRPr>
          </a:p>
        </xdr:txBody>
      </xdr:sp>
      <xdr:sp macro="" textlink="$B$163">
        <xdr:nvSpPr>
          <xdr:cNvPr id="87" name="SECTION_GROUP_SUBTITLE">
            <a:extLst>
              <a:ext uri="{FF2B5EF4-FFF2-40B4-BE49-F238E27FC236}">
                <a16:creationId xmlns:a16="http://schemas.microsoft.com/office/drawing/2014/main" id="{00000000-0008-0000-0200-000057000000}"/>
              </a:ext>
            </a:extLst>
          </xdr:cNvPr>
          <xdr:cNvSpPr/>
        </xdr:nvSpPr>
        <xdr:spPr>
          <a:xfrm>
            <a:off x="9372598" y="17739136"/>
            <a:ext cx="7351776" cy="362714"/>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3D4A0A1D-D6E6-413A-BD88-604E6818A507}" type="TxLink">
              <a:rPr lang="en-US" sz="800" b="0" i="0" u="none" strike="noStrike">
                <a:solidFill>
                  <a:srgbClr val="000000"/>
                </a:solidFill>
                <a:latin typeface="Arial" pitchFamily="34" charset="0"/>
                <a:cs typeface="Arial" pitchFamily="34" charset="0"/>
              </a:rPr>
              <a:pPr algn="r"/>
              <a:t>Not Started</a:t>
            </a:fld>
            <a:endParaRPr lang="en-US" sz="1050" b="0" i="0">
              <a:latin typeface="Arial" pitchFamily="34" charset="0"/>
              <a:cs typeface="Arial" pitchFamily="34" charset="0"/>
            </a:endParaRPr>
          </a:p>
        </xdr:txBody>
      </xdr:sp>
      <xdr:sp macro="" textlink="">
        <xdr:nvSpPr>
          <xdr:cNvPr id="88" name="SECTION_GROUP_SUBTITLE_LABEL">
            <a:extLst>
              <a:ext uri="{FF2B5EF4-FFF2-40B4-BE49-F238E27FC236}">
                <a16:creationId xmlns:a16="http://schemas.microsoft.com/office/drawing/2014/main" id="{00000000-0008-0000-0200-000058000000}"/>
              </a:ext>
            </a:extLst>
          </xdr:cNvPr>
          <xdr:cNvSpPr txBox="1"/>
        </xdr:nvSpPr>
        <xdr:spPr>
          <a:xfrm>
            <a:off x="15640051" y="17739143"/>
            <a:ext cx="476249" cy="362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66676</xdr:colOff>
      <xdr:row>206</xdr:row>
      <xdr:rowOff>247650</xdr:rowOff>
    </xdr:from>
    <xdr:to>
      <xdr:col>24</xdr:col>
      <xdr:colOff>104775</xdr:colOff>
      <xdr:row>224</xdr:row>
      <xdr:rowOff>85724</xdr:rowOff>
    </xdr:to>
    <xdr:grpSp>
      <xdr:nvGrpSpPr>
        <xdr:cNvPr id="89" name="SECTION_GROUP">
          <a:extLst>
            <a:ext uri="{FF2B5EF4-FFF2-40B4-BE49-F238E27FC236}">
              <a16:creationId xmlns:a16="http://schemas.microsoft.com/office/drawing/2014/main" id="{00000000-0008-0000-0200-000059000000}"/>
            </a:ext>
          </a:extLst>
        </xdr:cNvPr>
        <xdr:cNvGrpSpPr/>
      </xdr:nvGrpSpPr>
      <xdr:grpSpPr>
        <a:xfrm>
          <a:off x="66676" y="56292750"/>
          <a:ext cx="7362824" cy="4810124"/>
          <a:chOff x="9363075" y="17306809"/>
          <a:chExt cx="7362825" cy="5177734"/>
        </a:xfrm>
      </xdr:grpSpPr>
      <xdr:sp macro="" textlink="">
        <xdr:nvSpPr>
          <xdr:cNvPr id="90" name="SECTION_GROUP_FRAME">
            <a:extLst>
              <a:ext uri="{FF2B5EF4-FFF2-40B4-BE49-F238E27FC236}">
                <a16:creationId xmlns:a16="http://schemas.microsoft.com/office/drawing/2014/main" id="{00000000-0008-0000-0200-00005A000000}"/>
              </a:ext>
            </a:extLst>
          </xdr:cNvPr>
          <xdr:cNvSpPr/>
        </xdr:nvSpPr>
        <xdr:spPr>
          <a:xfrm>
            <a:off x="9363075" y="17641465"/>
            <a:ext cx="7362825" cy="4843078"/>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168">
        <xdr:nvSpPr>
          <xdr:cNvPr id="91" name="SECTION_GROUP_TITLE">
            <a:extLst>
              <a:ext uri="{FF2B5EF4-FFF2-40B4-BE49-F238E27FC236}">
                <a16:creationId xmlns:a16="http://schemas.microsoft.com/office/drawing/2014/main" id="{00000000-0008-0000-0200-00005B00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49CFD029-D29E-4AFD-82F6-BD45E96ADA54}" type="TxLink">
              <a:rPr lang="en-US" sz="1000" b="1" i="0" u="none" strike="noStrike">
                <a:solidFill>
                  <a:srgbClr val="FFFFFF"/>
                </a:solidFill>
                <a:latin typeface="Arial" pitchFamily="34" charset="0"/>
                <a:cs typeface="Arial" pitchFamily="34" charset="0"/>
              </a:rPr>
              <a:pPr algn="l"/>
              <a:t>Timing and Use of Funds</a:t>
            </a:fld>
            <a:endParaRPr lang="en-US" sz="1000" b="1" i="0" u="none" strike="noStrike">
              <a:solidFill>
                <a:schemeClr val="bg1"/>
              </a:solidFill>
              <a:latin typeface="Arial" pitchFamily="34" charset="0"/>
              <a:cs typeface="Arial" pitchFamily="34" charset="0"/>
            </a:endParaRPr>
          </a:p>
        </xdr:txBody>
      </xdr:sp>
      <xdr:sp macro="" textlink="$B$184">
        <xdr:nvSpPr>
          <xdr:cNvPr id="92" name="SECTION_GROUP_SUBTITLE">
            <a:extLst>
              <a:ext uri="{FF2B5EF4-FFF2-40B4-BE49-F238E27FC236}">
                <a16:creationId xmlns:a16="http://schemas.microsoft.com/office/drawing/2014/main" id="{00000000-0008-0000-0200-00005C00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751B42FC-9E0C-4083-A48F-0B5F29EC57F6}" type="TxLink">
              <a:rPr lang="en-US" sz="800" b="0" i="0" u="none" strike="noStrike">
                <a:solidFill>
                  <a:srgbClr val="000000"/>
                </a:solidFill>
                <a:latin typeface="Arial" pitchFamily="34" charset="0"/>
                <a:cs typeface="Arial" pitchFamily="34" charset="0"/>
              </a:rPr>
              <a:pPr algn="r"/>
              <a:t>Not Started</a:t>
            </a:fld>
            <a:endParaRPr lang="en-US" sz="800" b="0" i="0" u="none" strike="noStrike">
              <a:solidFill>
                <a:srgbClr val="000000"/>
              </a:solidFill>
              <a:latin typeface="Arial" pitchFamily="34" charset="0"/>
              <a:cs typeface="Arial" pitchFamily="34" charset="0"/>
            </a:endParaRPr>
          </a:p>
        </xdr:txBody>
      </xdr:sp>
      <xdr:sp macro="" textlink="">
        <xdr:nvSpPr>
          <xdr:cNvPr id="93" name="SECTION_GROUP_SUBTITLE_LABEL">
            <a:extLst>
              <a:ext uri="{FF2B5EF4-FFF2-40B4-BE49-F238E27FC236}">
                <a16:creationId xmlns:a16="http://schemas.microsoft.com/office/drawing/2014/main" id="{00000000-0008-0000-0200-00005D000000}"/>
              </a:ext>
            </a:extLst>
          </xdr:cNvPr>
          <xdr:cNvSpPr txBox="1"/>
        </xdr:nvSpPr>
        <xdr:spPr>
          <a:xfrm>
            <a:off x="15611476"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66675</xdr:colOff>
      <xdr:row>224</xdr:row>
      <xdr:rowOff>247650</xdr:rowOff>
    </xdr:from>
    <xdr:to>
      <xdr:col>24</xdr:col>
      <xdr:colOff>104774</xdr:colOff>
      <xdr:row>250</xdr:row>
      <xdr:rowOff>66674</xdr:rowOff>
    </xdr:to>
    <xdr:grpSp>
      <xdr:nvGrpSpPr>
        <xdr:cNvPr id="94" name="SECTION_GROUP">
          <a:extLst>
            <a:ext uri="{FF2B5EF4-FFF2-40B4-BE49-F238E27FC236}">
              <a16:creationId xmlns:a16="http://schemas.microsoft.com/office/drawing/2014/main" id="{00000000-0008-0000-0200-00005E000000}"/>
            </a:ext>
          </a:extLst>
        </xdr:cNvPr>
        <xdr:cNvGrpSpPr/>
      </xdr:nvGrpSpPr>
      <xdr:grpSpPr>
        <a:xfrm>
          <a:off x="66675" y="61264800"/>
          <a:ext cx="7362824" cy="7000874"/>
          <a:chOff x="9363075" y="17306808"/>
          <a:chExt cx="7362825" cy="7535910"/>
        </a:xfrm>
      </xdr:grpSpPr>
      <xdr:sp macro="" textlink="">
        <xdr:nvSpPr>
          <xdr:cNvPr id="95" name="SECTION_GROUP_FRAME">
            <a:extLst>
              <a:ext uri="{FF2B5EF4-FFF2-40B4-BE49-F238E27FC236}">
                <a16:creationId xmlns:a16="http://schemas.microsoft.com/office/drawing/2014/main" id="{00000000-0008-0000-0200-00005F000000}"/>
              </a:ext>
            </a:extLst>
          </xdr:cNvPr>
          <xdr:cNvSpPr/>
        </xdr:nvSpPr>
        <xdr:spPr>
          <a:xfrm>
            <a:off x="9363075" y="17641465"/>
            <a:ext cx="7362825" cy="7201253"/>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189">
        <xdr:nvSpPr>
          <xdr:cNvPr id="96" name="SECTION_GROUP_TITLE">
            <a:extLst>
              <a:ext uri="{FF2B5EF4-FFF2-40B4-BE49-F238E27FC236}">
                <a16:creationId xmlns:a16="http://schemas.microsoft.com/office/drawing/2014/main" id="{00000000-0008-0000-0200-000060000000}"/>
              </a:ext>
            </a:extLst>
          </xdr:cNvPr>
          <xdr:cNvSpPr/>
        </xdr:nvSpPr>
        <xdr:spPr>
          <a:xfrm>
            <a:off x="9363075" y="17306808"/>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89EDD7D0-DA42-4517-BF54-58A898569A05}" type="TxLink">
              <a:rPr lang="en-US" sz="1000" b="1" i="0" u="none" strike="noStrike">
                <a:solidFill>
                  <a:srgbClr val="FFFFFF"/>
                </a:solidFill>
                <a:latin typeface="Arial" pitchFamily="34" charset="0"/>
                <a:cs typeface="Arial" pitchFamily="34" charset="0"/>
              </a:rPr>
              <a:pPr algn="l"/>
              <a:t>Member Involvement</a:t>
            </a:fld>
            <a:endParaRPr lang="en-US" sz="1000" b="1" i="0" u="none" strike="noStrike">
              <a:solidFill>
                <a:schemeClr val="bg1"/>
              </a:solidFill>
              <a:latin typeface="Arial" pitchFamily="34" charset="0"/>
              <a:cs typeface="Arial" pitchFamily="34" charset="0"/>
            </a:endParaRPr>
          </a:p>
        </xdr:txBody>
      </xdr:sp>
      <xdr:sp macro="" textlink="$B$206">
        <xdr:nvSpPr>
          <xdr:cNvPr id="97" name="SECTION_GROUP_SUBTITLE">
            <a:extLst>
              <a:ext uri="{FF2B5EF4-FFF2-40B4-BE49-F238E27FC236}">
                <a16:creationId xmlns:a16="http://schemas.microsoft.com/office/drawing/2014/main" id="{00000000-0008-0000-0200-00006100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F98B4943-71A9-4BD0-9CE2-B843CB07CAB2}" type="TxLink">
              <a:rPr lang="en-US" sz="800" b="0" i="0" u="none" strike="noStrike">
                <a:solidFill>
                  <a:srgbClr val="000000"/>
                </a:solidFill>
                <a:latin typeface="Arial" pitchFamily="34" charset="0"/>
                <a:cs typeface="Arial" pitchFamily="34" charset="0"/>
              </a:rPr>
              <a:pPr algn="r"/>
              <a:t>Not Started</a:t>
            </a:fld>
            <a:endParaRPr lang="en-US" sz="1050" b="0" i="0">
              <a:latin typeface="Arial" pitchFamily="34" charset="0"/>
              <a:cs typeface="Arial" pitchFamily="34" charset="0"/>
            </a:endParaRPr>
          </a:p>
        </xdr:txBody>
      </xdr:sp>
      <xdr:sp macro="" textlink="">
        <xdr:nvSpPr>
          <xdr:cNvPr id="98" name="SECTION_GROUP_SUBTITLE_LABEL">
            <a:extLst>
              <a:ext uri="{FF2B5EF4-FFF2-40B4-BE49-F238E27FC236}">
                <a16:creationId xmlns:a16="http://schemas.microsoft.com/office/drawing/2014/main" id="{00000000-0008-0000-0200-000062000000}"/>
              </a:ext>
            </a:extLst>
          </xdr:cNvPr>
          <xdr:cNvSpPr txBox="1"/>
        </xdr:nvSpPr>
        <xdr:spPr>
          <a:xfrm>
            <a:off x="15630526" y="17661235"/>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66675</xdr:colOff>
      <xdr:row>315</xdr:row>
      <xdr:rowOff>238124</xdr:rowOff>
    </xdr:from>
    <xdr:to>
      <xdr:col>24</xdr:col>
      <xdr:colOff>104774</xdr:colOff>
      <xdr:row>365</xdr:row>
      <xdr:rowOff>85724</xdr:rowOff>
    </xdr:to>
    <xdr:grpSp>
      <xdr:nvGrpSpPr>
        <xdr:cNvPr id="99" name="SECTION_GROUP">
          <a:extLst>
            <a:ext uri="{FF2B5EF4-FFF2-40B4-BE49-F238E27FC236}">
              <a16:creationId xmlns:a16="http://schemas.microsoft.com/office/drawing/2014/main" id="{00000000-0008-0000-0200-000063000000}"/>
            </a:ext>
          </a:extLst>
        </xdr:cNvPr>
        <xdr:cNvGrpSpPr/>
      </xdr:nvGrpSpPr>
      <xdr:grpSpPr>
        <a:xfrm>
          <a:off x="66675" y="91478099"/>
          <a:ext cx="7362824" cy="18630900"/>
          <a:chOff x="9363075" y="17306808"/>
          <a:chExt cx="7362825" cy="20054751"/>
        </a:xfrm>
      </xdr:grpSpPr>
      <xdr:sp macro="" textlink="">
        <xdr:nvSpPr>
          <xdr:cNvPr id="100" name="SECTION_GROUP_FRAME">
            <a:extLst>
              <a:ext uri="{FF2B5EF4-FFF2-40B4-BE49-F238E27FC236}">
                <a16:creationId xmlns:a16="http://schemas.microsoft.com/office/drawing/2014/main" id="{00000000-0008-0000-0200-000064000000}"/>
              </a:ext>
            </a:extLst>
          </xdr:cNvPr>
          <xdr:cNvSpPr/>
        </xdr:nvSpPr>
        <xdr:spPr>
          <a:xfrm>
            <a:off x="9363075" y="17641463"/>
            <a:ext cx="7362825" cy="19720096"/>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232">
        <xdr:nvSpPr>
          <xdr:cNvPr id="101" name="SECTION_GROUP_TITLE">
            <a:extLst>
              <a:ext uri="{FF2B5EF4-FFF2-40B4-BE49-F238E27FC236}">
                <a16:creationId xmlns:a16="http://schemas.microsoft.com/office/drawing/2014/main" id="{00000000-0008-0000-0200-000065000000}"/>
              </a:ext>
            </a:extLst>
          </xdr:cNvPr>
          <xdr:cNvSpPr/>
        </xdr:nvSpPr>
        <xdr:spPr>
          <a:xfrm>
            <a:off x="9363075" y="17306808"/>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83AF77EF-70BB-49CE-B6C8-77F364E59F86}" type="TxLink">
              <a:rPr lang="en-US" sz="1000" b="1" i="0" u="none" strike="noStrike">
                <a:solidFill>
                  <a:schemeClr val="bg1"/>
                </a:solidFill>
                <a:latin typeface="Arial" pitchFamily="34" charset="0"/>
                <a:cs typeface="Arial" pitchFamily="34" charset="0"/>
              </a:rPr>
              <a:pPr algn="l"/>
              <a:t>Development Partner(s)</a:t>
            </a:fld>
            <a:endParaRPr lang="en-US" sz="1000" b="1" i="0" u="none" strike="noStrike">
              <a:solidFill>
                <a:schemeClr val="bg1"/>
              </a:solidFill>
              <a:latin typeface="Arial" pitchFamily="34" charset="0"/>
              <a:cs typeface="Arial" pitchFamily="34" charset="0"/>
            </a:endParaRPr>
          </a:p>
        </xdr:txBody>
      </xdr:sp>
      <xdr:sp macro="" textlink="$B$252">
        <xdr:nvSpPr>
          <xdr:cNvPr id="102" name="SECTION_GROUP_SUBTITLE">
            <a:extLst>
              <a:ext uri="{FF2B5EF4-FFF2-40B4-BE49-F238E27FC236}">
                <a16:creationId xmlns:a16="http://schemas.microsoft.com/office/drawing/2014/main" id="{00000000-0008-0000-0200-00006600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4722ECF0-F94A-4BD1-B46C-257937190630}" type="TxLink">
              <a:rPr lang="en-US" sz="800" b="0" i="0" u="none" strike="noStrike">
                <a:solidFill>
                  <a:srgbClr val="000000"/>
                </a:solidFill>
                <a:latin typeface="Arial" pitchFamily="34" charset="0"/>
                <a:cs typeface="Arial" pitchFamily="34" charset="0"/>
              </a:rPr>
              <a:pPr algn="r"/>
              <a:t>Optional</a:t>
            </a:fld>
            <a:endParaRPr lang="en-US" sz="1050" b="0" i="0">
              <a:latin typeface="Arial" pitchFamily="34" charset="0"/>
              <a:cs typeface="Arial" pitchFamily="34" charset="0"/>
            </a:endParaRPr>
          </a:p>
        </xdr:txBody>
      </xdr:sp>
      <xdr:sp macro="" textlink="">
        <xdr:nvSpPr>
          <xdr:cNvPr id="103" name="SECTION_GROUP_SUBTITLE_LABEL">
            <a:extLst>
              <a:ext uri="{FF2B5EF4-FFF2-40B4-BE49-F238E27FC236}">
                <a16:creationId xmlns:a16="http://schemas.microsoft.com/office/drawing/2014/main" id="{00000000-0008-0000-0200-000067000000}"/>
              </a:ext>
            </a:extLst>
          </xdr:cNvPr>
          <xdr:cNvSpPr txBox="1"/>
        </xdr:nvSpPr>
        <xdr:spPr>
          <a:xfrm>
            <a:off x="15640051"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66675</xdr:colOff>
      <xdr:row>250</xdr:row>
      <xdr:rowOff>238127</xdr:rowOff>
    </xdr:from>
    <xdr:to>
      <xdr:col>24</xdr:col>
      <xdr:colOff>104774</xdr:colOff>
      <xdr:row>315</xdr:row>
      <xdr:rowOff>85724</xdr:rowOff>
    </xdr:to>
    <xdr:grpSp>
      <xdr:nvGrpSpPr>
        <xdr:cNvPr id="104" name="SECTION_GROUP">
          <a:extLst>
            <a:ext uri="{FF2B5EF4-FFF2-40B4-BE49-F238E27FC236}">
              <a16:creationId xmlns:a16="http://schemas.microsoft.com/office/drawing/2014/main" id="{00000000-0008-0000-0200-000068000000}"/>
            </a:ext>
          </a:extLst>
        </xdr:cNvPr>
        <xdr:cNvGrpSpPr/>
      </xdr:nvGrpSpPr>
      <xdr:grpSpPr>
        <a:xfrm>
          <a:off x="66675" y="68437127"/>
          <a:ext cx="7362824" cy="22888572"/>
          <a:chOff x="9363075" y="17306808"/>
          <a:chExt cx="7362825" cy="24637810"/>
        </a:xfrm>
      </xdr:grpSpPr>
      <xdr:sp macro="" textlink="">
        <xdr:nvSpPr>
          <xdr:cNvPr id="105" name="SECTION_GROUP_FRAME">
            <a:extLst>
              <a:ext uri="{FF2B5EF4-FFF2-40B4-BE49-F238E27FC236}">
                <a16:creationId xmlns:a16="http://schemas.microsoft.com/office/drawing/2014/main" id="{00000000-0008-0000-0200-000069000000}"/>
              </a:ext>
            </a:extLst>
          </xdr:cNvPr>
          <xdr:cNvSpPr/>
        </xdr:nvSpPr>
        <xdr:spPr>
          <a:xfrm>
            <a:off x="9363075" y="17641463"/>
            <a:ext cx="7362825" cy="24303155"/>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211">
        <xdr:nvSpPr>
          <xdr:cNvPr id="106" name="SECTION_GROUP_TITLE">
            <a:extLst>
              <a:ext uri="{FF2B5EF4-FFF2-40B4-BE49-F238E27FC236}">
                <a16:creationId xmlns:a16="http://schemas.microsoft.com/office/drawing/2014/main" id="{00000000-0008-0000-0200-00006A000000}"/>
              </a:ext>
            </a:extLst>
          </xdr:cNvPr>
          <xdr:cNvSpPr/>
        </xdr:nvSpPr>
        <xdr:spPr>
          <a:xfrm>
            <a:off x="9363075" y="17306808"/>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FC03B83C-A3F9-4C27-9E15-70B2837D4B67}" type="TxLink">
              <a:rPr lang="en-US" sz="1000" b="1" i="0" u="none" strike="noStrike">
                <a:solidFill>
                  <a:srgbClr val="FFFFFF"/>
                </a:solidFill>
                <a:latin typeface="Arial" pitchFamily="34" charset="0"/>
                <a:cs typeface="Arial" pitchFamily="34" charset="0"/>
              </a:rPr>
              <a:pPr algn="l"/>
              <a:t>Project Sponsor Profile</a:t>
            </a:fld>
            <a:endParaRPr lang="en-US" sz="1000" b="1" i="0" u="none" strike="noStrike">
              <a:solidFill>
                <a:schemeClr val="bg1"/>
              </a:solidFill>
              <a:latin typeface="Arial" pitchFamily="34" charset="0"/>
              <a:cs typeface="Arial" pitchFamily="34" charset="0"/>
            </a:endParaRPr>
          </a:p>
        </xdr:txBody>
      </xdr:sp>
      <xdr:sp macro="" textlink="$B$226">
        <xdr:nvSpPr>
          <xdr:cNvPr id="107" name="SECTION_GROUP_SUBTITLE">
            <a:extLst>
              <a:ext uri="{FF2B5EF4-FFF2-40B4-BE49-F238E27FC236}">
                <a16:creationId xmlns:a16="http://schemas.microsoft.com/office/drawing/2014/main" id="{00000000-0008-0000-0200-00006B00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9B5AAC33-628E-4197-9B73-FA288295235F}" type="TxLink">
              <a:rPr lang="en-US" sz="800" b="0" i="0" u="none" strike="noStrike">
                <a:solidFill>
                  <a:srgbClr val="000000"/>
                </a:solidFill>
                <a:latin typeface="Arial" pitchFamily="34" charset="0"/>
                <a:cs typeface="Arial" pitchFamily="34" charset="0"/>
              </a:rPr>
              <a:pPr algn="r"/>
              <a:t>Not Started</a:t>
            </a:fld>
            <a:endParaRPr lang="en-US" sz="1050" b="0" i="0">
              <a:latin typeface="Arial" pitchFamily="34" charset="0"/>
              <a:cs typeface="Arial" pitchFamily="34" charset="0"/>
            </a:endParaRPr>
          </a:p>
        </xdr:txBody>
      </xdr:sp>
      <xdr:sp macro="" textlink="">
        <xdr:nvSpPr>
          <xdr:cNvPr id="108" name="SECTION_GROUP_SUBTITLE_LABEL">
            <a:extLst>
              <a:ext uri="{FF2B5EF4-FFF2-40B4-BE49-F238E27FC236}">
                <a16:creationId xmlns:a16="http://schemas.microsoft.com/office/drawing/2014/main" id="{00000000-0008-0000-0200-00006C000000}"/>
              </a:ext>
            </a:extLst>
          </xdr:cNvPr>
          <xdr:cNvSpPr txBox="1"/>
        </xdr:nvSpPr>
        <xdr:spPr>
          <a:xfrm>
            <a:off x="15640051"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absolute">
    <xdr:from>
      <xdr:col>16384</xdr:col>
      <xdr:colOff>613928</xdr:colOff>
      <xdr:row>16</xdr:row>
      <xdr:rowOff>28575</xdr:rowOff>
    </xdr:from>
    <xdr:to>
      <xdr:col>16384</xdr:col>
      <xdr:colOff>613928</xdr:colOff>
      <xdr:row>18</xdr:row>
      <xdr:rowOff>76200</xdr:rowOff>
    </xdr:to>
    <xdr:sp macro="" textlink="">
      <xdr:nvSpPr>
        <xdr:cNvPr id="109" name="COVER_CELLS_01">
          <a:extLst>
            <a:ext uri="{FF2B5EF4-FFF2-40B4-BE49-F238E27FC236}">
              <a16:creationId xmlns:a16="http://schemas.microsoft.com/office/drawing/2014/main" id="{00000000-0008-0000-0200-00006D000000}"/>
            </a:ext>
          </a:extLst>
        </xdr:cNvPr>
        <xdr:cNvSpPr/>
      </xdr:nvSpPr>
      <xdr:spPr>
        <a:xfrm>
          <a:off x="8100578" y="3590925"/>
          <a:ext cx="0" cy="600075"/>
        </a:xfrm>
        <a:prstGeom prst="rect">
          <a:avLst/>
        </a:prstGeom>
        <a:solidFill>
          <a:srgbClr val="FFFFFF">
            <a:alpha val="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fPrintsWithSheet="0"/>
  </xdr:twoCellAnchor>
  <xdr:twoCellAnchor editAs="oneCell">
    <xdr:from>
      <xdr:col>7</xdr:col>
      <xdr:colOff>15250</xdr:colOff>
      <xdr:row>848</xdr:row>
      <xdr:rowOff>247647</xdr:rowOff>
    </xdr:from>
    <xdr:to>
      <xdr:col>24</xdr:col>
      <xdr:colOff>142874</xdr:colOff>
      <xdr:row>849</xdr:row>
      <xdr:rowOff>251078</xdr:rowOff>
    </xdr:to>
    <xdr:grpSp>
      <xdr:nvGrpSpPr>
        <xdr:cNvPr id="110" name="Group 109">
          <a:extLst>
            <a:ext uri="{FF2B5EF4-FFF2-40B4-BE49-F238E27FC236}">
              <a16:creationId xmlns:a16="http://schemas.microsoft.com/office/drawing/2014/main" id="{00000000-0008-0000-0200-00006E000000}"/>
            </a:ext>
          </a:extLst>
        </xdr:cNvPr>
        <xdr:cNvGrpSpPr/>
      </xdr:nvGrpSpPr>
      <xdr:grpSpPr>
        <a:xfrm>
          <a:off x="15250" y="250745622"/>
          <a:ext cx="7452349" cy="279656"/>
          <a:chOff x="9296399" y="16259175"/>
          <a:chExt cx="7452359" cy="731063"/>
        </a:xfrm>
      </xdr:grpSpPr>
      <xdr:sp macro="" textlink="">
        <xdr:nvSpPr>
          <xdr:cNvPr id="111" name="FOOTER_BG">
            <a:extLst>
              <a:ext uri="{FF2B5EF4-FFF2-40B4-BE49-F238E27FC236}">
                <a16:creationId xmlns:a16="http://schemas.microsoft.com/office/drawing/2014/main" id="{00000000-0008-0000-0200-00006F000000}"/>
              </a:ext>
            </a:extLst>
          </xdr:cNvPr>
          <xdr:cNvSpPr/>
        </xdr:nvSpPr>
        <xdr:spPr>
          <a:xfrm>
            <a:off x="9296399" y="16259179"/>
            <a:ext cx="7452359" cy="731059"/>
          </a:xfrm>
          <a:prstGeom prst="rect">
            <a:avLst/>
          </a:prstGeom>
          <a:solidFill>
            <a:srgbClr val="69747A"/>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pPr marL="0" marR="0" indent="0" algn="r" defTabSz="914400" eaLnBrk="1" fontAlgn="auto" latinLnBrk="0" hangingPunct="1">
              <a:lnSpc>
                <a:spcPct val="100000"/>
              </a:lnSpc>
              <a:spcBef>
                <a:spcPts val="0"/>
              </a:spcBef>
              <a:spcAft>
                <a:spcPts val="0"/>
              </a:spcAft>
              <a:buClrTx/>
              <a:buSzTx/>
              <a:buFontTx/>
              <a:buNone/>
              <a:tabLst/>
              <a:defRPr/>
            </a:pPr>
            <a:r>
              <a:rPr lang="en-US" sz="900" b="1">
                <a:solidFill>
                  <a:schemeClr val="lt1"/>
                </a:solidFill>
                <a:latin typeface="Arial" pitchFamily="34" charset="0"/>
                <a:ea typeface="+mn-ea"/>
                <a:cs typeface="Arial" pitchFamily="34" charset="0"/>
              </a:rPr>
              <a:t> Affordable Housing Program Application</a:t>
            </a:r>
            <a:endParaRPr lang="en-US" sz="900" b="1">
              <a:latin typeface="Arial" pitchFamily="34" charset="0"/>
              <a:cs typeface="Arial" pitchFamily="34" charset="0"/>
            </a:endParaRPr>
          </a:p>
          <a:p>
            <a:pPr algn="r"/>
            <a:endParaRPr lang="en-US" sz="900" b="1">
              <a:latin typeface="Arial" pitchFamily="34" charset="0"/>
              <a:cs typeface="Arial" pitchFamily="34" charset="0"/>
            </a:endParaRPr>
          </a:p>
        </xdr:txBody>
      </xdr:sp>
      <xdr:sp macro="" textlink="">
        <xdr:nvSpPr>
          <xdr:cNvPr id="112" name="FOOTER_LINK_PAGETOP">
            <a:hlinkClick xmlns:r="http://schemas.openxmlformats.org/officeDocument/2006/relationships" r:id="rId18"/>
            <a:extLst>
              <a:ext uri="{FF2B5EF4-FFF2-40B4-BE49-F238E27FC236}">
                <a16:creationId xmlns:a16="http://schemas.microsoft.com/office/drawing/2014/main" id="{00000000-0008-0000-0200-000070000000}"/>
              </a:ext>
            </a:extLst>
          </xdr:cNvPr>
          <xdr:cNvSpPr/>
        </xdr:nvSpPr>
        <xdr:spPr>
          <a:xfrm>
            <a:off x="9296399" y="16259175"/>
            <a:ext cx="1126715" cy="731059"/>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900" b="1" u="none">
                <a:latin typeface="Arial" pitchFamily="34" charset="0"/>
                <a:cs typeface="Arial" pitchFamily="34" charset="0"/>
              </a:rPr>
              <a:t>^ Back to Top</a:t>
            </a:r>
          </a:p>
        </xdr:txBody>
      </xdr:sp>
    </xdr:grpSp>
    <xdr:clientData fPrintsWithSheet="0"/>
  </xdr:twoCellAnchor>
  <xdr:oneCellAnchor>
    <xdr:from>
      <xdr:col>21</xdr:col>
      <xdr:colOff>0</xdr:colOff>
      <xdr:row>7</xdr:row>
      <xdr:rowOff>0</xdr:rowOff>
    </xdr:from>
    <xdr:ext cx="184731" cy="247184"/>
    <xdr:sp macro="" textlink="">
      <xdr:nvSpPr>
        <xdr:cNvPr id="113" name="TextBox 112">
          <a:extLst>
            <a:ext uri="{FF2B5EF4-FFF2-40B4-BE49-F238E27FC236}">
              <a16:creationId xmlns:a16="http://schemas.microsoft.com/office/drawing/2014/main" id="{00000000-0008-0000-0200-000071000000}"/>
            </a:ext>
          </a:extLst>
        </xdr:cNvPr>
        <xdr:cNvSpPr txBox="1"/>
      </xdr:nvSpPr>
      <xdr:spPr>
        <a:xfrm>
          <a:off x="6248400" y="1104900"/>
          <a:ext cx="184731" cy="247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050">
            <a:latin typeface="Arial" pitchFamily="34" charset="0"/>
            <a:cs typeface="Arial" pitchFamily="34" charset="0"/>
          </a:endParaRPr>
        </a:p>
      </xdr:txBody>
    </xdr:sp>
    <xdr:clientData/>
  </xdr:oneCellAnchor>
  <xdr:oneCellAnchor>
    <xdr:from>
      <xdr:col>23</xdr:col>
      <xdr:colOff>0</xdr:colOff>
      <xdr:row>7</xdr:row>
      <xdr:rowOff>0</xdr:rowOff>
    </xdr:from>
    <xdr:ext cx="184731" cy="247184"/>
    <xdr:sp macro="" textlink="">
      <xdr:nvSpPr>
        <xdr:cNvPr id="114" name="TextBox 113">
          <a:extLst>
            <a:ext uri="{FF2B5EF4-FFF2-40B4-BE49-F238E27FC236}">
              <a16:creationId xmlns:a16="http://schemas.microsoft.com/office/drawing/2014/main" id="{00000000-0008-0000-0200-000072000000}"/>
            </a:ext>
          </a:extLst>
        </xdr:cNvPr>
        <xdr:cNvSpPr txBox="1"/>
      </xdr:nvSpPr>
      <xdr:spPr>
        <a:xfrm>
          <a:off x="7143750" y="1104900"/>
          <a:ext cx="184731" cy="247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050">
            <a:latin typeface="Arial" pitchFamily="34" charset="0"/>
            <a:cs typeface="Arial" pitchFamily="34" charset="0"/>
          </a:endParaRPr>
        </a:p>
      </xdr:txBody>
    </xdr:sp>
    <xdr:clientData/>
  </xdr:oneCellAnchor>
  <xdr:oneCellAnchor>
    <xdr:from>
      <xdr:col>23</xdr:col>
      <xdr:colOff>0</xdr:colOff>
      <xdr:row>7</xdr:row>
      <xdr:rowOff>0</xdr:rowOff>
    </xdr:from>
    <xdr:ext cx="184731" cy="247184"/>
    <xdr:sp macro="" textlink="">
      <xdr:nvSpPr>
        <xdr:cNvPr id="115" name="TextBox 114">
          <a:extLst>
            <a:ext uri="{FF2B5EF4-FFF2-40B4-BE49-F238E27FC236}">
              <a16:creationId xmlns:a16="http://schemas.microsoft.com/office/drawing/2014/main" id="{00000000-0008-0000-0200-000073000000}"/>
            </a:ext>
          </a:extLst>
        </xdr:cNvPr>
        <xdr:cNvSpPr txBox="1"/>
      </xdr:nvSpPr>
      <xdr:spPr>
        <a:xfrm>
          <a:off x="7143750" y="1104900"/>
          <a:ext cx="184731" cy="247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050">
            <a:latin typeface="Arial" pitchFamily="34" charset="0"/>
            <a:cs typeface="Arial" pitchFamily="34" charset="0"/>
          </a:endParaRPr>
        </a:p>
      </xdr:txBody>
    </xdr:sp>
    <xdr:clientData/>
  </xdr:oneCellAnchor>
  <xdr:oneCellAnchor>
    <xdr:from>
      <xdr:col>18</xdr:col>
      <xdr:colOff>419100</xdr:colOff>
      <xdr:row>29</xdr:row>
      <xdr:rowOff>0</xdr:rowOff>
    </xdr:from>
    <xdr:ext cx="2314574" cy="264560"/>
    <xdr:sp macro="" textlink="$X$30">
      <xdr:nvSpPr>
        <xdr:cNvPr id="117" name="PROJ_NAME_CHARS_REMAINING">
          <a:extLst>
            <a:ext uri="{FF2B5EF4-FFF2-40B4-BE49-F238E27FC236}">
              <a16:creationId xmlns:a16="http://schemas.microsoft.com/office/drawing/2014/main" id="{00000000-0008-0000-0200-000075000000}"/>
            </a:ext>
          </a:extLst>
        </xdr:cNvPr>
        <xdr:cNvSpPr txBox="1"/>
      </xdr:nvSpPr>
      <xdr:spPr>
        <a:xfrm>
          <a:off x="13182600" y="5648325"/>
          <a:ext cx="231457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r"/>
          <a:fld id="{692C2CA2-0E05-40C4-9D8F-81294E7C374B}" type="TxLink">
            <a:rPr lang="en-US" sz="1050" b="0" i="1" u="none" strike="noStrike">
              <a:solidFill>
                <a:srgbClr val="7F7F7F"/>
              </a:solidFill>
              <a:latin typeface="Arial" pitchFamily="34" charset="0"/>
              <a:cs typeface="Arial" pitchFamily="34" charset="0"/>
            </a:rPr>
            <a:pPr algn="r"/>
            <a:t> </a:t>
          </a:fld>
          <a:endParaRPr lang="en-US" sz="1050">
            <a:latin typeface="Arial" pitchFamily="34" charset="0"/>
            <a:cs typeface="Arial" pitchFamily="34" charset="0"/>
          </a:endParaRPr>
        </a:p>
      </xdr:txBody>
    </xdr:sp>
    <xdr:clientData fPrintsWithSheet="0"/>
  </xdr:oneCellAnchor>
  <xdr:twoCellAnchor editAs="oneCell">
    <xdr:from>
      <xdr:col>21</xdr:col>
      <xdr:colOff>152401</xdr:colOff>
      <xdr:row>26</xdr:row>
      <xdr:rowOff>257175</xdr:rowOff>
    </xdr:from>
    <xdr:to>
      <xdr:col>24</xdr:col>
      <xdr:colOff>104776</xdr:colOff>
      <xdr:row>28</xdr:row>
      <xdr:rowOff>9525</xdr:rowOff>
    </xdr:to>
    <xdr:sp macro="" textlink="">
      <xdr:nvSpPr>
        <xdr:cNvPr id="118" name="LINK_RENTAL_TOC">
          <a:hlinkClick xmlns:r="http://schemas.openxmlformats.org/officeDocument/2006/relationships" r:id="rId18"/>
          <a:extLst>
            <a:ext uri="{FF2B5EF4-FFF2-40B4-BE49-F238E27FC236}">
              <a16:creationId xmlns:a16="http://schemas.microsoft.com/office/drawing/2014/main" id="{00000000-0008-0000-0200-000076000000}"/>
            </a:ext>
          </a:extLst>
        </xdr:cNvPr>
        <xdr:cNvSpPr/>
      </xdr:nvSpPr>
      <xdr:spPr>
        <a:xfrm>
          <a:off x="14525626" y="630555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14</xdr:col>
      <xdr:colOff>3398</xdr:colOff>
      <xdr:row>0</xdr:row>
      <xdr:rowOff>71440</xdr:rowOff>
    </xdr:from>
    <xdr:to>
      <xdr:col>24</xdr:col>
      <xdr:colOff>98648</xdr:colOff>
      <xdr:row>0</xdr:row>
      <xdr:rowOff>295275</xdr:rowOff>
    </xdr:to>
    <xdr:sp macro="" textlink="$B$6">
      <xdr:nvSpPr>
        <xdr:cNvPr id="119" name="HEADER_BANNER_TITLE">
          <a:extLst>
            <a:ext uri="{FF2B5EF4-FFF2-40B4-BE49-F238E27FC236}">
              <a16:creationId xmlns:a16="http://schemas.microsoft.com/office/drawing/2014/main" id="{00000000-0008-0000-0200-000077000000}"/>
            </a:ext>
          </a:extLst>
        </xdr:cNvPr>
        <xdr:cNvSpPr txBox="1"/>
      </xdr:nvSpPr>
      <xdr:spPr>
        <a:xfrm>
          <a:off x="10976198" y="71440"/>
          <a:ext cx="4572000" cy="2238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ctr">
          <a:noAutofit/>
        </a:bodyPr>
        <a:lstStyle/>
        <a:p>
          <a:pPr algn="r"/>
          <a:fld id="{EB7A598A-0828-4A2E-81B0-26C15BB3F65D}" type="TxLink">
            <a:rPr lang="en-US" sz="1050" b="1" i="0" u="none" strike="noStrike">
              <a:solidFill>
                <a:sysClr val="windowText" lastClr="000000"/>
              </a:solidFill>
              <a:latin typeface="Arial" pitchFamily="34" charset="0"/>
              <a:cs typeface="Arial" pitchFamily="34" charset="0"/>
            </a:rPr>
            <a:pPr algn="r"/>
            <a:t>AHP General Fund 2021</a:t>
          </a:fld>
          <a:endParaRPr lang="en-US" sz="1050" b="1" i="0">
            <a:solidFill>
              <a:sysClr val="windowText" lastClr="000000"/>
            </a:solidFill>
            <a:latin typeface="Arial" pitchFamily="34" charset="0"/>
            <a:cs typeface="Arial" pitchFamily="34" charset="0"/>
          </a:endParaRPr>
        </a:p>
      </xdr:txBody>
    </xdr:sp>
    <xdr:clientData/>
  </xdr:twoCellAnchor>
  <xdr:twoCellAnchor editAs="oneCell">
    <xdr:from>
      <xdr:col>21</xdr:col>
      <xdr:colOff>152401</xdr:colOff>
      <xdr:row>39</xdr:row>
      <xdr:rowOff>238125</xdr:rowOff>
    </xdr:from>
    <xdr:to>
      <xdr:col>24</xdr:col>
      <xdr:colOff>104776</xdr:colOff>
      <xdr:row>40</xdr:row>
      <xdr:rowOff>266700</xdr:rowOff>
    </xdr:to>
    <xdr:sp macro="" textlink="">
      <xdr:nvSpPr>
        <xdr:cNvPr id="120" name="LINK_RENTAL_TOC">
          <a:hlinkClick xmlns:r="http://schemas.openxmlformats.org/officeDocument/2006/relationships" r:id="rId18"/>
          <a:extLst>
            <a:ext uri="{FF2B5EF4-FFF2-40B4-BE49-F238E27FC236}">
              <a16:creationId xmlns:a16="http://schemas.microsoft.com/office/drawing/2014/main" id="{00000000-0008-0000-0200-000078000000}"/>
            </a:ext>
          </a:extLst>
        </xdr:cNvPr>
        <xdr:cNvSpPr/>
      </xdr:nvSpPr>
      <xdr:spPr>
        <a:xfrm>
          <a:off x="14525626" y="754380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21</xdr:col>
      <xdr:colOff>161925</xdr:colOff>
      <xdr:row>52</xdr:row>
      <xdr:rowOff>257175</xdr:rowOff>
    </xdr:from>
    <xdr:to>
      <xdr:col>24</xdr:col>
      <xdr:colOff>114300</xdr:colOff>
      <xdr:row>54</xdr:row>
      <xdr:rowOff>9525</xdr:rowOff>
    </xdr:to>
    <xdr:sp macro="" textlink="">
      <xdr:nvSpPr>
        <xdr:cNvPr id="121" name="LINK_RENTAL_TOC">
          <a:hlinkClick xmlns:r="http://schemas.openxmlformats.org/officeDocument/2006/relationships" r:id="rId18"/>
          <a:extLst>
            <a:ext uri="{FF2B5EF4-FFF2-40B4-BE49-F238E27FC236}">
              <a16:creationId xmlns:a16="http://schemas.microsoft.com/office/drawing/2014/main" id="{00000000-0008-0000-0200-000079000000}"/>
            </a:ext>
          </a:extLst>
        </xdr:cNvPr>
        <xdr:cNvSpPr/>
      </xdr:nvSpPr>
      <xdr:spPr>
        <a:xfrm>
          <a:off x="14535150" y="1087755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21</xdr:col>
      <xdr:colOff>152400</xdr:colOff>
      <xdr:row>92</xdr:row>
      <xdr:rowOff>247650</xdr:rowOff>
    </xdr:from>
    <xdr:to>
      <xdr:col>24</xdr:col>
      <xdr:colOff>104775</xdr:colOff>
      <xdr:row>94</xdr:row>
      <xdr:rowOff>0</xdr:rowOff>
    </xdr:to>
    <xdr:sp macro="" textlink="">
      <xdr:nvSpPr>
        <xdr:cNvPr id="122" name="LINK_RENTAL_TOC">
          <a:hlinkClick xmlns:r="http://schemas.openxmlformats.org/officeDocument/2006/relationships" r:id="rId18"/>
          <a:extLst>
            <a:ext uri="{FF2B5EF4-FFF2-40B4-BE49-F238E27FC236}">
              <a16:creationId xmlns:a16="http://schemas.microsoft.com/office/drawing/2014/main" id="{00000000-0008-0000-0200-00007A000000}"/>
            </a:ext>
          </a:extLst>
        </xdr:cNvPr>
        <xdr:cNvSpPr/>
      </xdr:nvSpPr>
      <xdr:spPr>
        <a:xfrm>
          <a:off x="14525625" y="2164080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21</xdr:col>
      <xdr:colOff>161925</xdr:colOff>
      <xdr:row>106</xdr:row>
      <xdr:rowOff>247650</xdr:rowOff>
    </xdr:from>
    <xdr:to>
      <xdr:col>24</xdr:col>
      <xdr:colOff>114300</xdr:colOff>
      <xdr:row>108</xdr:row>
      <xdr:rowOff>0</xdr:rowOff>
    </xdr:to>
    <xdr:sp macro="" textlink="">
      <xdr:nvSpPr>
        <xdr:cNvPr id="123" name="LINK_RENTAL_TOC">
          <a:hlinkClick xmlns:r="http://schemas.openxmlformats.org/officeDocument/2006/relationships" r:id="rId18"/>
          <a:extLst>
            <a:ext uri="{FF2B5EF4-FFF2-40B4-BE49-F238E27FC236}">
              <a16:creationId xmlns:a16="http://schemas.microsoft.com/office/drawing/2014/main" id="{00000000-0008-0000-0200-00007B000000}"/>
            </a:ext>
          </a:extLst>
        </xdr:cNvPr>
        <xdr:cNvSpPr/>
      </xdr:nvSpPr>
      <xdr:spPr>
        <a:xfrm>
          <a:off x="14535150" y="2550795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21</xdr:col>
      <xdr:colOff>142875</xdr:colOff>
      <xdr:row>224</xdr:row>
      <xdr:rowOff>247650</xdr:rowOff>
    </xdr:from>
    <xdr:to>
      <xdr:col>24</xdr:col>
      <xdr:colOff>95250</xdr:colOff>
      <xdr:row>226</xdr:row>
      <xdr:rowOff>0</xdr:rowOff>
    </xdr:to>
    <xdr:sp macro="" textlink="">
      <xdr:nvSpPr>
        <xdr:cNvPr id="124" name="LINK_RENTAL_TOC">
          <a:hlinkClick xmlns:r="http://schemas.openxmlformats.org/officeDocument/2006/relationships" r:id="rId18"/>
          <a:extLst>
            <a:ext uri="{FF2B5EF4-FFF2-40B4-BE49-F238E27FC236}">
              <a16:creationId xmlns:a16="http://schemas.microsoft.com/office/drawing/2014/main" id="{00000000-0008-0000-0200-00007C000000}"/>
            </a:ext>
          </a:extLst>
        </xdr:cNvPr>
        <xdr:cNvSpPr/>
      </xdr:nvSpPr>
      <xdr:spPr>
        <a:xfrm>
          <a:off x="14516100" y="5230177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21</xdr:col>
      <xdr:colOff>161925</xdr:colOff>
      <xdr:row>250</xdr:row>
      <xdr:rowOff>247650</xdr:rowOff>
    </xdr:from>
    <xdr:to>
      <xdr:col>24</xdr:col>
      <xdr:colOff>114300</xdr:colOff>
      <xdr:row>252</xdr:row>
      <xdr:rowOff>0</xdr:rowOff>
    </xdr:to>
    <xdr:sp macro="" textlink="">
      <xdr:nvSpPr>
        <xdr:cNvPr id="125" name="LINK_RENTAL_TOC">
          <a:hlinkClick xmlns:r="http://schemas.openxmlformats.org/officeDocument/2006/relationships" r:id="rId18"/>
          <a:extLst>
            <a:ext uri="{FF2B5EF4-FFF2-40B4-BE49-F238E27FC236}">
              <a16:creationId xmlns:a16="http://schemas.microsoft.com/office/drawing/2014/main" id="{00000000-0008-0000-0200-00007D000000}"/>
            </a:ext>
          </a:extLst>
        </xdr:cNvPr>
        <xdr:cNvSpPr/>
      </xdr:nvSpPr>
      <xdr:spPr>
        <a:xfrm>
          <a:off x="14535150" y="6252210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7</xdr:col>
      <xdr:colOff>66675</xdr:colOff>
      <xdr:row>387</xdr:row>
      <xdr:rowOff>0</xdr:rowOff>
    </xdr:from>
    <xdr:to>
      <xdr:col>24</xdr:col>
      <xdr:colOff>104774</xdr:colOff>
      <xdr:row>438</xdr:row>
      <xdr:rowOff>47625</xdr:rowOff>
    </xdr:to>
    <xdr:grpSp>
      <xdr:nvGrpSpPr>
        <xdr:cNvPr id="144" name="SECTION_GROUP">
          <a:extLst>
            <a:ext uri="{FF2B5EF4-FFF2-40B4-BE49-F238E27FC236}">
              <a16:creationId xmlns:a16="http://schemas.microsoft.com/office/drawing/2014/main" id="{00000000-0008-0000-0200-000090000000}"/>
            </a:ext>
          </a:extLst>
        </xdr:cNvPr>
        <xdr:cNvGrpSpPr/>
      </xdr:nvGrpSpPr>
      <xdr:grpSpPr>
        <a:xfrm>
          <a:off x="66675" y="116100225"/>
          <a:ext cx="7362824" cy="14135100"/>
          <a:chOff x="9363075" y="17306808"/>
          <a:chExt cx="7362825" cy="15215364"/>
        </a:xfrm>
      </xdr:grpSpPr>
      <xdr:sp macro="" textlink="">
        <xdr:nvSpPr>
          <xdr:cNvPr id="145" name="SECTION_GROUP_FRAME">
            <a:extLst>
              <a:ext uri="{FF2B5EF4-FFF2-40B4-BE49-F238E27FC236}">
                <a16:creationId xmlns:a16="http://schemas.microsoft.com/office/drawing/2014/main" id="{00000000-0008-0000-0200-000091000000}"/>
              </a:ext>
            </a:extLst>
          </xdr:cNvPr>
          <xdr:cNvSpPr/>
        </xdr:nvSpPr>
        <xdr:spPr>
          <a:xfrm>
            <a:off x="9363075" y="17641463"/>
            <a:ext cx="7362825" cy="14880709"/>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299">
        <xdr:nvSpPr>
          <xdr:cNvPr id="146" name="SECTION_GROUP_TITLE">
            <a:extLst>
              <a:ext uri="{FF2B5EF4-FFF2-40B4-BE49-F238E27FC236}">
                <a16:creationId xmlns:a16="http://schemas.microsoft.com/office/drawing/2014/main" id="{00000000-0008-0000-0200-000092000000}"/>
              </a:ext>
            </a:extLst>
          </xdr:cNvPr>
          <xdr:cNvSpPr/>
        </xdr:nvSpPr>
        <xdr:spPr>
          <a:xfrm>
            <a:off x="9363075" y="17306808"/>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92E693CC-E47F-47C8-B030-F9A798938829}" type="TxLink">
              <a:rPr lang="en-US" sz="1000" b="1" i="0" u="none" strike="noStrike">
                <a:solidFill>
                  <a:schemeClr val="bg1"/>
                </a:solidFill>
                <a:latin typeface="Arial" pitchFamily="34" charset="0"/>
                <a:cs typeface="Arial" pitchFamily="34" charset="0"/>
              </a:rPr>
              <a:pPr algn="l"/>
              <a:t>Use of Donated or Conveyed Government-owned or Other Properties (Maximum Points: 5)</a:t>
            </a:fld>
            <a:endParaRPr lang="en-US" sz="1000" b="1" i="0" u="none" strike="noStrike">
              <a:solidFill>
                <a:schemeClr val="bg1"/>
              </a:solidFill>
              <a:latin typeface="Arial" pitchFamily="34" charset="0"/>
              <a:cs typeface="Arial" pitchFamily="34" charset="0"/>
            </a:endParaRPr>
          </a:p>
        </xdr:txBody>
      </xdr:sp>
      <xdr:sp macro="" textlink="$B$329">
        <xdr:nvSpPr>
          <xdr:cNvPr id="147" name="SECTION_GROUP_SUBTITLE">
            <a:extLst>
              <a:ext uri="{FF2B5EF4-FFF2-40B4-BE49-F238E27FC236}">
                <a16:creationId xmlns:a16="http://schemas.microsoft.com/office/drawing/2014/main" id="{00000000-0008-0000-0200-00009300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4277C419-2DDD-44E4-80BA-936E907EAE58}" type="TxLink">
              <a:rPr lang="en-US" sz="800" b="0" i="0" u="none" strike="noStrike">
                <a:solidFill>
                  <a:srgbClr val="000000"/>
                </a:solidFill>
                <a:latin typeface="Arial" pitchFamily="34" charset="0"/>
                <a:cs typeface="Arial" pitchFamily="34" charset="0"/>
              </a:rPr>
              <a:pPr algn="r"/>
              <a:t>Not Started</a:t>
            </a:fld>
            <a:endParaRPr lang="en-US" sz="1050" b="0" i="0">
              <a:latin typeface="Arial" pitchFamily="34" charset="0"/>
              <a:cs typeface="Arial" pitchFamily="34" charset="0"/>
            </a:endParaRPr>
          </a:p>
        </xdr:txBody>
      </xdr:sp>
      <xdr:sp macro="" textlink="">
        <xdr:nvSpPr>
          <xdr:cNvPr id="148" name="SECTION_GROUP_SUBTITLE_LABEL">
            <a:extLst>
              <a:ext uri="{FF2B5EF4-FFF2-40B4-BE49-F238E27FC236}">
                <a16:creationId xmlns:a16="http://schemas.microsoft.com/office/drawing/2014/main" id="{00000000-0008-0000-0200-000094000000}"/>
              </a:ext>
            </a:extLst>
          </xdr:cNvPr>
          <xdr:cNvSpPr txBox="1"/>
        </xdr:nvSpPr>
        <xdr:spPr>
          <a:xfrm>
            <a:off x="15649576"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21</xdr:col>
      <xdr:colOff>161925</xdr:colOff>
      <xdr:row>387</xdr:row>
      <xdr:rowOff>0</xdr:rowOff>
    </xdr:from>
    <xdr:to>
      <xdr:col>24</xdr:col>
      <xdr:colOff>114300</xdr:colOff>
      <xdr:row>388</xdr:row>
      <xdr:rowOff>28575</xdr:rowOff>
    </xdr:to>
    <xdr:sp macro="" textlink="">
      <xdr:nvSpPr>
        <xdr:cNvPr id="149" name="LINK_RENTAL_TOC">
          <a:hlinkClick xmlns:r="http://schemas.openxmlformats.org/officeDocument/2006/relationships" r:id="rId18"/>
          <a:extLst>
            <a:ext uri="{FF2B5EF4-FFF2-40B4-BE49-F238E27FC236}">
              <a16:creationId xmlns:a16="http://schemas.microsoft.com/office/drawing/2014/main" id="{00000000-0008-0000-0200-000095000000}"/>
            </a:ext>
          </a:extLst>
        </xdr:cNvPr>
        <xdr:cNvSpPr/>
      </xdr:nvSpPr>
      <xdr:spPr>
        <a:xfrm>
          <a:off x="14535150" y="10205085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20</xdr:col>
      <xdr:colOff>66675</xdr:colOff>
      <xdr:row>2</xdr:row>
      <xdr:rowOff>9525</xdr:rowOff>
    </xdr:from>
    <xdr:to>
      <xdr:col>24</xdr:col>
      <xdr:colOff>109538</xdr:colOff>
      <xdr:row>3</xdr:row>
      <xdr:rowOff>1905</xdr:rowOff>
    </xdr:to>
    <xdr:sp macro="" textlink="$B$7">
      <xdr:nvSpPr>
        <xdr:cNvPr id="150" name="HEADER_BANNER_SUBTITLE">
          <a:extLst>
            <a:ext uri="{FF2B5EF4-FFF2-40B4-BE49-F238E27FC236}">
              <a16:creationId xmlns:a16="http://schemas.microsoft.com/office/drawing/2014/main" id="{00000000-0008-0000-0200-000096000000}"/>
            </a:ext>
          </a:extLst>
        </xdr:cNvPr>
        <xdr:cNvSpPr txBox="1"/>
      </xdr:nvSpPr>
      <xdr:spPr>
        <a:xfrm>
          <a:off x="13725525" y="561975"/>
          <a:ext cx="1833563" cy="182880"/>
        </a:xfrm>
        <a:prstGeom prst="rect">
          <a:avLst/>
        </a:prstGeom>
        <a:solidFill>
          <a:srgbClr val="00305E"/>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fld id="{4B39128B-4B37-4567-8AC7-02473171A03C}" type="TxLink">
            <a:rPr lang="en-US" sz="700" b="1" i="0" u="none" strike="noStrike">
              <a:solidFill>
                <a:schemeClr val="bg1"/>
              </a:solidFill>
              <a:latin typeface="Arial" pitchFamily="34" charset="0"/>
              <a:cs typeface="Arial" pitchFamily="34" charset="0"/>
            </a:rPr>
            <a:pPr algn="ctr"/>
            <a:t>Owner-Occupied Project</a:t>
          </a:fld>
          <a:endParaRPr lang="en-US" sz="700" b="1" i="0" u="none" strike="noStrike">
            <a:solidFill>
              <a:schemeClr val="bg1"/>
            </a:solidFill>
            <a:latin typeface="Arial" pitchFamily="34" charset="0"/>
            <a:cs typeface="Arial" pitchFamily="34" charset="0"/>
          </a:endParaRPr>
        </a:p>
      </xdr:txBody>
    </xdr:sp>
    <xdr:clientData/>
  </xdr:twoCellAnchor>
  <xdr:twoCellAnchor editAs="oneCell">
    <xdr:from>
      <xdr:col>7</xdr:col>
      <xdr:colOff>58036</xdr:colOff>
      <xdr:row>0</xdr:row>
      <xdr:rowOff>56784</xdr:rowOff>
    </xdr:from>
    <xdr:to>
      <xdr:col>10</xdr:col>
      <xdr:colOff>107185</xdr:colOff>
      <xdr:row>0</xdr:row>
      <xdr:rowOff>527493</xdr:rowOff>
    </xdr:to>
    <xdr:pic>
      <xdr:nvPicPr>
        <xdr:cNvPr id="151" name="COMPANY_LOGO">
          <a:extLst>
            <a:ext uri="{FF2B5EF4-FFF2-40B4-BE49-F238E27FC236}">
              <a16:creationId xmlns:a16="http://schemas.microsoft.com/office/drawing/2014/main" id="{00000000-0008-0000-0200-000097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xdr:blipFill>
      <xdr:spPr>
        <a:xfrm>
          <a:off x="58036" y="56784"/>
          <a:ext cx="1106424" cy="470709"/>
        </a:xfrm>
        <a:prstGeom prst="rect">
          <a:avLst/>
        </a:prstGeom>
      </xdr:spPr>
    </xdr:pic>
    <xdr:clientData/>
  </xdr:twoCellAnchor>
  <xdr:twoCellAnchor editAs="oneCell">
    <xdr:from>
      <xdr:col>20</xdr:col>
      <xdr:colOff>60546</xdr:colOff>
      <xdr:row>0</xdr:row>
      <xdr:rowOff>308208</xdr:rowOff>
    </xdr:from>
    <xdr:to>
      <xdr:col>24</xdr:col>
      <xdr:colOff>98648</xdr:colOff>
      <xdr:row>0</xdr:row>
      <xdr:rowOff>491088</xdr:rowOff>
    </xdr:to>
    <xdr:sp macro="" textlink="">
      <xdr:nvSpPr>
        <xdr:cNvPr id="152" name="HEADER_BANNER_DOCID">
          <a:extLst>
            <a:ext uri="{FF2B5EF4-FFF2-40B4-BE49-F238E27FC236}">
              <a16:creationId xmlns:a16="http://schemas.microsoft.com/office/drawing/2014/main" id="{00000000-0008-0000-0200-000098000000}"/>
            </a:ext>
          </a:extLst>
        </xdr:cNvPr>
        <xdr:cNvSpPr txBox="1"/>
      </xdr:nvSpPr>
      <xdr:spPr>
        <a:xfrm>
          <a:off x="13719396" y="308208"/>
          <a:ext cx="1828802" cy="1828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lIns="0" rIns="0" rtlCol="0" anchor="ctr">
          <a:noAutofit/>
        </a:bodyPr>
        <a:lstStyle/>
        <a:p>
          <a:pPr algn="r"/>
          <a:r>
            <a:rPr lang="en-US" sz="700" b="0" i="0" u="none" strike="noStrike" baseline="0">
              <a:solidFill>
                <a:sysClr val="windowText" lastClr="000000"/>
              </a:solidFill>
              <a:latin typeface="Arial" pitchFamily="34" charset="0"/>
              <a:cs typeface="Arial" pitchFamily="34" charset="0"/>
            </a:rPr>
            <a:t>AHP </a:t>
          </a:r>
          <a:r>
            <a:rPr lang="en-US" sz="800" b="0" i="0" u="none" strike="noStrike" baseline="0">
              <a:solidFill>
                <a:sysClr val="windowText" lastClr="000000"/>
              </a:solidFill>
              <a:latin typeface="Arial" pitchFamily="34" charset="0"/>
              <a:cs typeface="Arial" pitchFamily="34" charset="0"/>
            </a:rPr>
            <a:t>Application</a:t>
          </a:r>
          <a:endParaRPr lang="en-US" sz="800" b="0" i="0" u="none" strike="noStrike">
            <a:solidFill>
              <a:sysClr val="windowText" lastClr="000000"/>
            </a:solidFill>
            <a:latin typeface="Arial" pitchFamily="34" charset="0"/>
            <a:cs typeface="Arial" pitchFamily="34" charset="0"/>
          </a:endParaRPr>
        </a:p>
      </xdr:txBody>
    </xdr:sp>
    <xdr:clientData/>
  </xdr:twoCellAnchor>
  <xdr:twoCellAnchor editAs="oneCell">
    <xdr:from>
      <xdr:col>21</xdr:col>
      <xdr:colOff>152400</xdr:colOff>
      <xdr:row>65</xdr:row>
      <xdr:rowOff>257175</xdr:rowOff>
    </xdr:from>
    <xdr:to>
      <xdr:col>24</xdr:col>
      <xdr:colOff>104775</xdr:colOff>
      <xdr:row>67</xdr:row>
      <xdr:rowOff>9525</xdr:rowOff>
    </xdr:to>
    <xdr:sp macro="" textlink="">
      <xdr:nvSpPr>
        <xdr:cNvPr id="154" name="LINK_RENTAL_TOC">
          <a:hlinkClick xmlns:r="http://schemas.openxmlformats.org/officeDocument/2006/relationships" r:id="rId18"/>
          <a:extLst>
            <a:ext uri="{FF2B5EF4-FFF2-40B4-BE49-F238E27FC236}">
              <a16:creationId xmlns:a16="http://schemas.microsoft.com/office/drawing/2014/main" id="{00000000-0008-0000-0200-00009A000000}"/>
            </a:ext>
          </a:extLst>
        </xdr:cNvPr>
        <xdr:cNvSpPr/>
      </xdr:nvSpPr>
      <xdr:spPr>
        <a:xfrm>
          <a:off x="14525625" y="1735455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xdr:from>
      <xdr:col>20</xdr:col>
      <xdr:colOff>657225</xdr:colOff>
      <xdr:row>96</xdr:row>
      <xdr:rowOff>152400</xdr:rowOff>
    </xdr:from>
    <xdr:to>
      <xdr:col>21</xdr:col>
      <xdr:colOff>114300</xdr:colOff>
      <xdr:row>96</xdr:row>
      <xdr:rowOff>152400</xdr:rowOff>
    </xdr:to>
    <xdr:cxnSp macro="">
      <xdr:nvCxnSpPr>
        <xdr:cNvPr id="155" name="DOTTED_LINE">
          <a:extLst>
            <a:ext uri="{FF2B5EF4-FFF2-40B4-BE49-F238E27FC236}">
              <a16:creationId xmlns:a16="http://schemas.microsoft.com/office/drawing/2014/main" id="{00000000-0008-0000-0200-00009B000000}"/>
            </a:ext>
          </a:extLst>
        </xdr:cNvPr>
        <xdr:cNvCxnSpPr/>
      </xdr:nvCxnSpPr>
      <xdr:spPr>
        <a:xfrm>
          <a:off x="14316075" y="22650450"/>
          <a:ext cx="1714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609600</xdr:colOff>
      <xdr:row>98</xdr:row>
      <xdr:rowOff>152400</xdr:rowOff>
    </xdr:from>
    <xdr:to>
      <xdr:col>21</xdr:col>
      <xdr:colOff>114300</xdr:colOff>
      <xdr:row>98</xdr:row>
      <xdr:rowOff>152400</xdr:rowOff>
    </xdr:to>
    <xdr:cxnSp macro="">
      <xdr:nvCxnSpPr>
        <xdr:cNvPr id="156" name="DOTTED_LINE">
          <a:extLst>
            <a:ext uri="{FF2B5EF4-FFF2-40B4-BE49-F238E27FC236}">
              <a16:creationId xmlns:a16="http://schemas.microsoft.com/office/drawing/2014/main" id="{00000000-0008-0000-0200-00009C000000}"/>
            </a:ext>
          </a:extLst>
        </xdr:cNvPr>
        <xdr:cNvCxnSpPr/>
      </xdr:nvCxnSpPr>
      <xdr:spPr>
        <a:xfrm>
          <a:off x="14268450" y="24098250"/>
          <a:ext cx="2190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38100</xdr:colOff>
      <xdr:row>101</xdr:row>
      <xdr:rowOff>95250</xdr:rowOff>
    </xdr:from>
    <xdr:to>
      <xdr:col>8</xdr:col>
      <xdr:colOff>129540</xdr:colOff>
      <xdr:row>101</xdr:row>
      <xdr:rowOff>186690</xdr:rowOff>
    </xdr:to>
    <xdr:sp macro="" textlink="">
      <xdr:nvSpPr>
        <xdr:cNvPr id="158" name="RT_ARROW_2">
          <a:extLst>
            <a:ext uri="{FF2B5EF4-FFF2-40B4-BE49-F238E27FC236}">
              <a16:creationId xmlns:a16="http://schemas.microsoft.com/office/drawing/2014/main" id="{00000000-0008-0000-0200-00009E000000}"/>
            </a:ext>
          </a:extLst>
        </xdr:cNvPr>
        <xdr:cNvSpPr/>
      </xdr:nvSpPr>
      <xdr:spPr>
        <a:xfrm>
          <a:off x="8324850" y="23974425"/>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8</xdr:col>
      <xdr:colOff>38100</xdr:colOff>
      <xdr:row>102</xdr:row>
      <xdr:rowOff>85725</xdr:rowOff>
    </xdr:from>
    <xdr:to>
      <xdr:col>8</xdr:col>
      <xdr:colOff>129540</xdr:colOff>
      <xdr:row>102</xdr:row>
      <xdr:rowOff>177165</xdr:rowOff>
    </xdr:to>
    <xdr:sp macro="" textlink="">
      <xdr:nvSpPr>
        <xdr:cNvPr id="159" name="RT_ARROW_3">
          <a:extLst>
            <a:ext uri="{FF2B5EF4-FFF2-40B4-BE49-F238E27FC236}">
              <a16:creationId xmlns:a16="http://schemas.microsoft.com/office/drawing/2014/main" id="{00000000-0008-0000-0200-00009F000000}"/>
            </a:ext>
          </a:extLst>
        </xdr:cNvPr>
        <xdr:cNvSpPr/>
      </xdr:nvSpPr>
      <xdr:spPr>
        <a:xfrm>
          <a:off x="8324850" y="24241125"/>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14</xdr:col>
      <xdr:colOff>114300</xdr:colOff>
      <xdr:row>101</xdr:row>
      <xdr:rowOff>152400</xdr:rowOff>
    </xdr:from>
    <xdr:to>
      <xdr:col>17</xdr:col>
      <xdr:colOff>123825</xdr:colOff>
      <xdr:row>101</xdr:row>
      <xdr:rowOff>152400</xdr:rowOff>
    </xdr:to>
    <xdr:cxnSp macro="">
      <xdr:nvCxnSpPr>
        <xdr:cNvPr id="160" name="DOTTED_LINE">
          <a:extLst>
            <a:ext uri="{FF2B5EF4-FFF2-40B4-BE49-F238E27FC236}">
              <a16:creationId xmlns:a16="http://schemas.microsoft.com/office/drawing/2014/main" id="{00000000-0008-0000-0200-0000A0000000}"/>
            </a:ext>
          </a:extLst>
        </xdr:cNvPr>
        <xdr:cNvCxnSpPr/>
      </xdr:nvCxnSpPr>
      <xdr:spPr>
        <a:xfrm>
          <a:off x="11087100" y="24926925"/>
          <a:ext cx="16192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666750</xdr:colOff>
      <xdr:row>102</xdr:row>
      <xdr:rowOff>152400</xdr:rowOff>
    </xdr:from>
    <xdr:to>
      <xdr:col>17</xdr:col>
      <xdr:colOff>123825</xdr:colOff>
      <xdr:row>102</xdr:row>
      <xdr:rowOff>152400</xdr:rowOff>
    </xdr:to>
    <xdr:cxnSp macro="">
      <xdr:nvCxnSpPr>
        <xdr:cNvPr id="161" name="DOTTED_LINE">
          <a:extLst>
            <a:ext uri="{FF2B5EF4-FFF2-40B4-BE49-F238E27FC236}">
              <a16:creationId xmlns:a16="http://schemas.microsoft.com/office/drawing/2014/main" id="{00000000-0008-0000-0200-0000A1000000}"/>
            </a:ext>
          </a:extLst>
        </xdr:cNvPr>
        <xdr:cNvCxnSpPr/>
      </xdr:nvCxnSpPr>
      <xdr:spPr>
        <a:xfrm>
          <a:off x="3514725" y="25203150"/>
          <a:ext cx="10668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657225</xdr:colOff>
      <xdr:row>104</xdr:row>
      <xdr:rowOff>152400</xdr:rowOff>
    </xdr:from>
    <xdr:to>
      <xdr:col>21</xdr:col>
      <xdr:colOff>114300</xdr:colOff>
      <xdr:row>104</xdr:row>
      <xdr:rowOff>152400</xdr:rowOff>
    </xdr:to>
    <xdr:cxnSp macro="">
      <xdr:nvCxnSpPr>
        <xdr:cNvPr id="162" name="DOTTED_LINE">
          <a:extLst>
            <a:ext uri="{FF2B5EF4-FFF2-40B4-BE49-F238E27FC236}">
              <a16:creationId xmlns:a16="http://schemas.microsoft.com/office/drawing/2014/main" id="{00000000-0008-0000-0200-0000A2000000}"/>
            </a:ext>
          </a:extLst>
        </xdr:cNvPr>
        <xdr:cNvCxnSpPr/>
      </xdr:nvCxnSpPr>
      <xdr:spPr>
        <a:xfrm>
          <a:off x="14316075" y="24860250"/>
          <a:ext cx="1714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111</xdr:row>
      <xdr:rowOff>152400</xdr:rowOff>
    </xdr:from>
    <xdr:to>
      <xdr:col>19</xdr:col>
      <xdr:colOff>66675</xdr:colOff>
      <xdr:row>111</xdr:row>
      <xdr:rowOff>152400</xdr:rowOff>
    </xdr:to>
    <xdr:cxnSp macro="">
      <xdr:nvCxnSpPr>
        <xdr:cNvPr id="163" name="DOTTED_LINE">
          <a:extLst>
            <a:ext uri="{FF2B5EF4-FFF2-40B4-BE49-F238E27FC236}">
              <a16:creationId xmlns:a16="http://schemas.microsoft.com/office/drawing/2014/main" id="{00000000-0008-0000-0200-0000A3000000}"/>
            </a:ext>
          </a:extLst>
        </xdr:cNvPr>
        <xdr:cNvCxnSpPr/>
      </xdr:nvCxnSpPr>
      <xdr:spPr>
        <a:xfrm>
          <a:off x="9915525" y="27689175"/>
          <a:ext cx="36290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76200</xdr:colOff>
      <xdr:row>113</xdr:row>
      <xdr:rowOff>152400</xdr:rowOff>
    </xdr:from>
    <xdr:to>
      <xdr:col>21</xdr:col>
      <xdr:colOff>133350</xdr:colOff>
      <xdr:row>113</xdr:row>
      <xdr:rowOff>152400</xdr:rowOff>
    </xdr:to>
    <xdr:cxnSp macro="">
      <xdr:nvCxnSpPr>
        <xdr:cNvPr id="164" name="DOTTED_LINE">
          <a:extLst>
            <a:ext uri="{FF2B5EF4-FFF2-40B4-BE49-F238E27FC236}">
              <a16:creationId xmlns:a16="http://schemas.microsoft.com/office/drawing/2014/main" id="{00000000-0008-0000-0200-0000A4000000}"/>
            </a:ext>
          </a:extLst>
        </xdr:cNvPr>
        <xdr:cNvCxnSpPr/>
      </xdr:nvCxnSpPr>
      <xdr:spPr>
        <a:xfrm>
          <a:off x="9258300" y="29832300"/>
          <a:ext cx="52482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171450</xdr:colOff>
      <xdr:row>121</xdr:row>
      <xdr:rowOff>152400</xdr:rowOff>
    </xdr:from>
    <xdr:to>
      <xdr:col>21</xdr:col>
      <xdr:colOff>133350</xdr:colOff>
      <xdr:row>121</xdr:row>
      <xdr:rowOff>152400</xdr:rowOff>
    </xdr:to>
    <xdr:cxnSp macro="">
      <xdr:nvCxnSpPr>
        <xdr:cNvPr id="166" name="DOTTED_LINE">
          <a:extLst>
            <a:ext uri="{FF2B5EF4-FFF2-40B4-BE49-F238E27FC236}">
              <a16:creationId xmlns:a16="http://schemas.microsoft.com/office/drawing/2014/main" id="{00000000-0008-0000-0200-0000A6000000}"/>
            </a:ext>
          </a:extLst>
        </xdr:cNvPr>
        <xdr:cNvCxnSpPr/>
      </xdr:nvCxnSpPr>
      <xdr:spPr>
        <a:xfrm>
          <a:off x="9353550" y="30175200"/>
          <a:ext cx="51530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95250</xdr:colOff>
      <xdr:row>122</xdr:row>
      <xdr:rowOff>152400</xdr:rowOff>
    </xdr:from>
    <xdr:to>
      <xdr:col>21</xdr:col>
      <xdr:colOff>133350</xdr:colOff>
      <xdr:row>122</xdr:row>
      <xdr:rowOff>152400</xdr:rowOff>
    </xdr:to>
    <xdr:cxnSp macro="">
      <xdr:nvCxnSpPr>
        <xdr:cNvPr id="168" name="DOTTED_LINE">
          <a:extLst>
            <a:ext uri="{FF2B5EF4-FFF2-40B4-BE49-F238E27FC236}">
              <a16:creationId xmlns:a16="http://schemas.microsoft.com/office/drawing/2014/main" id="{00000000-0008-0000-0200-0000A8000000}"/>
            </a:ext>
          </a:extLst>
        </xdr:cNvPr>
        <xdr:cNvCxnSpPr/>
      </xdr:nvCxnSpPr>
      <xdr:spPr>
        <a:xfrm>
          <a:off x="9277350" y="32318325"/>
          <a:ext cx="52292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114300</xdr:colOff>
      <xdr:row>123</xdr:row>
      <xdr:rowOff>152400</xdr:rowOff>
    </xdr:from>
    <xdr:to>
      <xdr:col>21</xdr:col>
      <xdr:colOff>133350</xdr:colOff>
      <xdr:row>123</xdr:row>
      <xdr:rowOff>152400</xdr:rowOff>
    </xdr:to>
    <xdr:cxnSp macro="">
      <xdr:nvCxnSpPr>
        <xdr:cNvPr id="169" name="DOTTED_LINE">
          <a:extLst>
            <a:ext uri="{FF2B5EF4-FFF2-40B4-BE49-F238E27FC236}">
              <a16:creationId xmlns:a16="http://schemas.microsoft.com/office/drawing/2014/main" id="{00000000-0008-0000-0200-0000A9000000}"/>
            </a:ext>
          </a:extLst>
        </xdr:cNvPr>
        <xdr:cNvCxnSpPr/>
      </xdr:nvCxnSpPr>
      <xdr:spPr>
        <a:xfrm>
          <a:off x="9115425" y="32594550"/>
          <a:ext cx="53911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57150</xdr:colOff>
      <xdr:row>128</xdr:row>
      <xdr:rowOff>95250</xdr:rowOff>
    </xdr:from>
    <xdr:to>
      <xdr:col>8</xdr:col>
      <xdr:colOff>148590</xdr:colOff>
      <xdr:row>128</xdr:row>
      <xdr:rowOff>186690</xdr:rowOff>
    </xdr:to>
    <xdr:sp macro="" textlink="">
      <xdr:nvSpPr>
        <xdr:cNvPr id="171" name="RT_ARROW_2">
          <a:extLst>
            <a:ext uri="{FF2B5EF4-FFF2-40B4-BE49-F238E27FC236}">
              <a16:creationId xmlns:a16="http://schemas.microsoft.com/office/drawing/2014/main" id="{00000000-0008-0000-0200-0000AB000000}"/>
            </a:ext>
          </a:extLst>
        </xdr:cNvPr>
        <xdr:cNvSpPr/>
      </xdr:nvSpPr>
      <xdr:spPr>
        <a:xfrm>
          <a:off x="8343900" y="36680775"/>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16</xdr:col>
      <xdr:colOff>95250</xdr:colOff>
      <xdr:row>127</xdr:row>
      <xdr:rowOff>152400</xdr:rowOff>
    </xdr:from>
    <xdr:to>
      <xdr:col>21</xdr:col>
      <xdr:colOff>104775</xdr:colOff>
      <xdr:row>127</xdr:row>
      <xdr:rowOff>152400</xdr:rowOff>
    </xdr:to>
    <xdr:cxnSp macro="">
      <xdr:nvCxnSpPr>
        <xdr:cNvPr id="172" name="DOTTED_LINE">
          <a:extLst>
            <a:ext uri="{FF2B5EF4-FFF2-40B4-BE49-F238E27FC236}">
              <a16:creationId xmlns:a16="http://schemas.microsoft.com/office/drawing/2014/main" id="{00000000-0008-0000-0200-0000AC000000}"/>
            </a:ext>
          </a:extLst>
        </xdr:cNvPr>
        <xdr:cNvCxnSpPr/>
      </xdr:nvCxnSpPr>
      <xdr:spPr>
        <a:xfrm>
          <a:off x="11963400" y="31832550"/>
          <a:ext cx="25146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257175</xdr:colOff>
      <xdr:row>128</xdr:row>
      <xdr:rowOff>142875</xdr:rowOff>
    </xdr:from>
    <xdr:to>
      <xdr:col>21</xdr:col>
      <xdr:colOff>104775</xdr:colOff>
      <xdr:row>128</xdr:row>
      <xdr:rowOff>142875</xdr:rowOff>
    </xdr:to>
    <xdr:cxnSp macro="">
      <xdr:nvCxnSpPr>
        <xdr:cNvPr id="173" name="DOTTED_LINE">
          <a:extLst>
            <a:ext uri="{FF2B5EF4-FFF2-40B4-BE49-F238E27FC236}">
              <a16:creationId xmlns:a16="http://schemas.microsoft.com/office/drawing/2014/main" id="{00000000-0008-0000-0200-0000AD000000}"/>
            </a:ext>
          </a:extLst>
        </xdr:cNvPr>
        <xdr:cNvCxnSpPr/>
      </xdr:nvCxnSpPr>
      <xdr:spPr>
        <a:xfrm>
          <a:off x="10334625" y="32099250"/>
          <a:ext cx="41433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609600</xdr:colOff>
      <xdr:row>149</xdr:row>
      <xdr:rowOff>152400</xdr:rowOff>
    </xdr:from>
    <xdr:to>
      <xdr:col>21</xdr:col>
      <xdr:colOff>133350</xdr:colOff>
      <xdr:row>149</xdr:row>
      <xdr:rowOff>152400</xdr:rowOff>
    </xdr:to>
    <xdr:cxnSp macro="">
      <xdr:nvCxnSpPr>
        <xdr:cNvPr id="174" name="DOTTED_LINE">
          <a:extLst>
            <a:ext uri="{FF2B5EF4-FFF2-40B4-BE49-F238E27FC236}">
              <a16:creationId xmlns:a16="http://schemas.microsoft.com/office/drawing/2014/main" id="{00000000-0008-0000-0200-0000AE000000}"/>
            </a:ext>
          </a:extLst>
        </xdr:cNvPr>
        <xdr:cNvCxnSpPr/>
      </xdr:nvCxnSpPr>
      <xdr:spPr>
        <a:xfrm>
          <a:off x="10687050" y="33213675"/>
          <a:ext cx="38195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571500</xdr:colOff>
      <xdr:row>150</xdr:row>
      <xdr:rowOff>152400</xdr:rowOff>
    </xdr:from>
    <xdr:to>
      <xdr:col>21</xdr:col>
      <xdr:colOff>133350</xdr:colOff>
      <xdr:row>150</xdr:row>
      <xdr:rowOff>152400</xdr:rowOff>
    </xdr:to>
    <xdr:cxnSp macro="">
      <xdr:nvCxnSpPr>
        <xdr:cNvPr id="175" name="DOTTED_LINE">
          <a:extLst>
            <a:ext uri="{FF2B5EF4-FFF2-40B4-BE49-F238E27FC236}">
              <a16:creationId xmlns:a16="http://schemas.microsoft.com/office/drawing/2014/main" id="{00000000-0008-0000-0200-0000AF000000}"/>
            </a:ext>
          </a:extLst>
        </xdr:cNvPr>
        <xdr:cNvCxnSpPr/>
      </xdr:nvCxnSpPr>
      <xdr:spPr>
        <a:xfrm>
          <a:off x="12439650" y="39900225"/>
          <a:ext cx="20669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76200</xdr:colOff>
      <xdr:row>210</xdr:row>
      <xdr:rowOff>152400</xdr:rowOff>
    </xdr:from>
    <xdr:to>
      <xdr:col>19</xdr:col>
      <xdr:colOff>66675</xdr:colOff>
      <xdr:row>210</xdr:row>
      <xdr:rowOff>152400</xdr:rowOff>
    </xdr:to>
    <xdr:cxnSp macro="">
      <xdr:nvCxnSpPr>
        <xdr:cNvPr id="179" name="DOTTED_LINE">
          <a:extLst>
            <a:ext uri="{FF2B5EF4-FFF2-40B4-BE49-F238E27FC236}">
              <a16:creationId xmlns:a16="http://schemas.microsoft.com/office/drawing/2014/main" id="{00000000-0008-0000-0200-0000B3000000}"/>
            </a:ext>
          </a:extLst>
        </xdr:cNvPr>
        <xdr:cNvCxnSpPr/>
      </xdr:nvCxnSpPr>
      <xdr:spPr>
        <a:xfrm>
          <a:off x="3819525" y="48406050"/>
          <a:ext cx="16002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21</xdr:col>
      <xdr:colOff>142875</xdr:colOff>
      <xdr:row>206</xdr:row>
      <xdr:rowOff>247650</xdr:rowOff>
    </xdr:from>
    <xdr:to>
      <xdr:col>24</xdr:col>
      <xdr:colOff>95250</xdr:colOff>
      <xdr:row>208</xdr:row>
      <xdr:rowOff>0</xdr:rowOff>
    </xdr:to>
    <xdr:sp macro="" textlink="">
      <xdr:nvSpPr>
        <xdr:cNvPr id="180" name="LINK_RENTAL_TOC">
          <a:hlinkClick xmlns:r="http://schemas.openxmlformats.org/officeDocument/2006/relationships" r:id="rId18"/>
          <a:extLst>
            <a:ext uri="{FF2B5EF4-FFF2-40B4-BE49-F238E27FC236}">
              <a16:creationId xmlns:a16="http://schemas.microsoft.com/office/drawing/2014/main" id="{00000000-0008-0000-0200-0000B4000000}"/>
            </a:ext>
          </a:extLst>
        </xdr:cNvPr>
        <xdr:cNvSpPr/>
      </xdr:nvSpPr>
      <xdr:spPr>
        <a:xfrm>
          <a:off x="14516100" y="4843462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xdr:from>
      <xdr:col>15</xdr:col>
      <xdr:colOff>133350</xdr:colOff>
      <xdr:row>211</xdr:row>
      <xdr:rowOff>152400</xdr:rowOff>
    </xdr:from>
    <xdr:to>
      <xdr:col>19</xdr:col>
      <xdr:colOff>66675</xdr:colOff>
      <xdr:row>211</xdr:row>
      <xdr:rowOff>152400</xdr:rowOff>
    </xdr:to>
    <xdr:cxnSp macro="">
      <xdr:nvCxnSpPr>
        <xdr:cNvPr id="181" name="DOTTED_LINE">
          <a:extLst>
            <a:ext uri="{FF2B5EF4-FFF2-40B4-BE49-F238E27FC236}">
              <a16:creationId xmlns:a16="http://schemas.microsoft.com/office/drawing/2014/main" id="{00000000-0008-0000-0200-0000B5000000}"/>
            </a:ext>
          </a:extLst>
        </xdr:cNvPr>
        <xdr:cNvCxnSpPr/>
      </xdr:nvCxnSpPr>
      <xdr:spPr>
        <a:xfrm>
          <a:off x="3695700" y="48682275"/>
          <a:ext cx="17240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257175</xdr:colOff>
      <xdr:row>212</xdr:row>
      <xdr:rowOff>152400</xdr:rowOff>
    </xdr:from>
    <xdr:to>
      <xdr:col>21</xdr:col>
      <xdr:colOff>133350</xdr:colOff>
      <xdr:row>212</xdr:row>
      <xdr:rowOff>152400</xdr:rowOff>
    </xdr:to>
    <xdr:cxnSp macro="">
      <xdr:nvCxnSpPr>
        <xdr:cNvPr id="182" name="DOTTED_LINE">
          <a:extLst>
            <a:ext uri="{FF2B5EF4-FFF2-40B4-BE49-F238E27FC236}">
              <a16:creationId xmlns:a16="http://schemas.microsoft.com/office/drawing/2014/main" id="{00000000-0008-0000-0200-0000B6000000}"/>
            </a:ext>
          </a:extLst>
        </xdr:cNvPr>
        <xdr:cNvCxnSpPr/>
      </xdr:nvCxnSpPr>
      <xdr:spPr>
        <a:xfrm>
          <a:off x="4000500" y="48958500"/>
          <a:ext cx="23812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190500</xdr:colOff>
      <xdr:row>219</xdr:row>
      <xdr:rowOff>152400</xdr:rowOff>
    </xdr:from>
    <xdr:to>
      <xdr:col>21</xdr:col>
      <xdr:colOff>133350</xdr:colOff>
      <xdr:row>219</xdr:row>
      <xdr:rowOff>152400</xdr:rowOff>
    </xdr:to>
    <xdr:cxnSp macro="">
      <xdr:nvCxnSpPr>
        <xdr:cNvPr id="183" name="DOTTED_LINE">
          <a:extLst>
            <a:ext uri="{FF2B5EF4-FFF2-40B4-BE49-F238E27FC236}">
              <a16:creationId xmlns:a16="http://schemas.microsoft.com/office/drawing/2014/main" id="{00000000-0008-0000-0200-0000B7000000}"/>
            </a:ext>
          </a:extLst>
        </xdr:cNvPr>
        <xdr:cNvCxnSpPr/>
      </xdr:nvCxnSpPr>
      <xdr:spPr>
        <a:xfrm>
          <a:off x="11163300" y="50063400"/>
          <a:ext cx="33432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133350</xdr:colOff>
      <xdr:row>220</xdr:row>
      <xdr:rowOff>152400</xdr:rowOff>
    </xdr:from>
    <xdr:to>
      <xdr:col>21</xdr:col>
      <xdr:colOff>133350</xdr:colOff>
      <xdr:row>220</xdr:row>
      <xdr:rowOff>152400</xdr:rowOff>
    </xdr:to>
    <xdr:cxnSp macro="">
      <xdr:nvCxnSpPr>
        <xdr:cNvPr id="184" name="DOTTED_LINE">
          <a:extLst>
            <a:ext uri="{FF2B5EF4-FFF2-40B4-BE49-F238E27FC236}">
              <a16:creationId xmlns:a16="http://schemas.microsoft.com/office/drawing/2014/main" id="{00000000-0008-0000-0200-0000B8000000}"/>
            </a:ext>
          </a:extLst>
        </xdr:cNvPr>
        <xdr:cNvCxnSpPr/>
      </xdr:nvCxnSpPr>
      <xdr:spPr>
        <a:xfrm>
          <a:off x="10210800" y="51654075"/>
          <a:ext cx="42957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238125</xdr:colOff>
      <xdr:row>221</xdr:row>
      <xdr:rowOff>152400</xdr:rowOff>
    </xdr:from>
    <xdr:to>
      <xdr:col>21</xdr:col>
      <xdr:colOff>133350</xdr:colOff>
      <xdr:row>221</xdr:row>
      <xdr:rowOff>152400</xdr:rowOff>
    </xdr:to>
    <xdr:cxnSp macro="">
      <xdr:nvCxnSpPr>
        <xdr:cNvPr id="185" name="DOTTED_LINE">
          <a:extLst>
            <a:ext uri="{FF2B5EF4-FFF2-40B4-BE49-F238E27FC236}">
              <a16:creationId xmlns:a16="http://schemas.microsoft.com/office/drawing/2014/main" id="{00000000-0008-0000-0200-0000B9000000}"/>
            </a:ext>
          </a:extLst>
        </xdr:cNvPr>
        <xdr:cNvCxnSpPr/>
      </xdr:nvCxnSpPr>
      <xdr:spPr>
        <a:xfrm>
          <a:off x="10315575" y="50615850"/>
          <a:ext cx="41910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285750</xdr:colOff>
      <xdr:row>222</xdr:row>
      <xdr:rowOff>152400</xdr:rowOff>
    </xdr:from>
    <xdr:to>
      <xdr:col>21</xdr:col>
      <xdr:colOff>133350</xdr:colOff>
      <xdr:row>222</xdr:row>
      <xdr:rowOff>152400</xdr:rowOff>
    </xdr:to>
    <xdr:cxnSp macro="">
      <xdr:nvCxnSpPr>
        <xdr:cNvPr id="186" name="DOTTED_LINE">
          <a:extLst>
            <a:ext uri="{FF2B5EF4-FFF2-40B4-BE49-F238E27FC236}">
              <a16:creationId xmlns:a16="http://schemas.microsoft.com/office/drawing/2014/main" id="{00000000-0008-0000-0200-0000BA000000}"/>
            </a:ext>
          </a:extLst>
        </xdr:cNvPr>
        <xdr:cNvCxnSpPr/>
      </xdr:nvCxnSpPr>
      <xdr:spPr>
        <a:xfrm>
          <a:off x="9467850" y="52206525"/>
          <a:ext cx="50387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209550</xdr:colOff>
      <xdr:row>228</xdr:row>
      <xdr:rowOff>152400</xdr:rowOff>
    </xdr:from>
    <xdr:to>
      <xdr:col>21</xdr:col>
      <xdr:colOff>133350</xdr:colOff>
      <xdr:row>228</xdr:row>
      <xdr:rowOff>152400</xdr:rowOff>
    </xdr:to>
    <xdr:cxnSp macro="">
      <xdr:nvCxnSpPr>
        <xdr:cNvPr id="189" name="DOTTED_LINE">
          <a:extLst>
            <a:ext uri="{FF2B5EF4-FFF2-40B4-BE49-F238E27FC236}">
              <a16:creationId xmlns:a16="http://schemas.microsoft.com/office/drawing/2014/main" id="{00000000-0008-0000-0200-0000BD000000}"/>
            </a:ext>
          </a:extLst>
        </xdr:cNvPr>
        <xdr:cNvCxnSpPr/>
      </xdr:nvCxnSpPr>
      <xdr:spPr>
        <a:xfrm>
          <a:off x="3952875" y="52549425"/>
          <a:ext cx="24288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390525</xdr:colOff>
      <xdr:row>229</xdr:row>
      <xdr:rowOff>152400</xdr:rowOff>
    </xdr:from>
    <xdr:to>
      <xdr:col>21</xdr:col>
      <xdr:colOff>133350</xdr:colOff>
      <xdr:row>229</xdr:row>
      <xdr:rowOff>152400</xdr:rowOff>
    </xdr:to>
    <xdr:cxnSp macro="">
      <xdr:nvCxnSpPr>
        <xdr:cNvPr id="190" name="DOTTED_LINE">
          <a:extLst>
            <a:ext uri="{FF2B5EF4-FFF2-40B4-BE49-F238E27FC236}">
              <a16:creationId xmlns:a16="http://schemas.microsoft.com/office/drawing/2014/main" id="{00000000-0008-0000-0200-0000BE000000}"/>
            </a:ext>
          </a:extLst>
        </xdr:cNvPr>
        <xdr:cNvCxnSpPr/>
      </xdr:nvCxnSpPr>
      <xdr:spPr>
        <a:xfrm>
          <a:off x="13154025" y="52825650"/>
          <a:ext cx="13525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9525</xdr:colOff>
      <xdr:row>230</xdr:row>
      <xdr:rowOff>152400</xdr:rowOff>
    </xdr:from>
    <xdr:to>
      <xdr:col>21</xdr:col>
      <xdr:colOff>133350</xdr:colOff>
      <xdr:row>230</xdr:row>
      <xdr:rowOff>152400</xdr:rowOff>
    </xdr:to>
    <xdr:cxnSp macro="">
      <xdr:nvCxnSpPr>
        <xdr:cNvPr id="191" name="DOTTED_LINE">
          <a:extLst>
            <a:ext uri="{FF2B5EF4-FFF2-40B4-BE49-F238E27FC236}">
              <a16:creationId xmlns:a16="http://schemas.microsoft.com/office/drawing/2014/main" id="{00000000-0008-0000-0200-0000BF000000}"/>
            </a:ext>
          </a:extLst>
        </xdr:cNvPr>
        <xdr:cNvCxnSpPr/>
      </xdr:nvCxnSpPr>
      <xdr:spPr>
        <a:xfrm>
          <a:off x="10982325" y="53101875"/>
          <a:ext cx="35242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676275</xdr:colOff>
      <xdr:row>240</xdr:row>
      <xdr:rowOff>152400</xdr:rowOff>
    </xdr:from>
    <xdr:to>
      <xdr:col>21</xdr:col>
      <xdr:colOff>133350</xdr:colOff>
      <xdr:row>240</xdr:row>
      <xdr:rowOff>152400</xdr:rowOff>
    </xdr:to>
    <xdr:cxnSp macro="">
      <xdr:nvCxnSpPr>
        <xdr:cNvPr id="192" name="DOTTED_LINE">
          <a:extLst>
            <a:ext uri="{FF2B5EF4-FFF2-40B4-BE49-F238E27FC236}">
              <a16:creationId xmlns:a16="http://schemas.microsoft.com/office/drawing/2014/main" id="{00000000-0008-0000-0200-0000C0000000}"/>
            </a:ext>
          </a:extLst>
        </xdr:cNvPr>
        <xdr:cNvCxnSpPr/>
      </xdr:nvCxnSpPr>
      <xdr:spPr>
        <a:xfrm>
          <a:off x="13439775" y="55864125"/>
          <a:ext cx="10668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57150</xdr:colOff>
      <xdr:row>241</xdr:row>
      <xdr:rowOff>95250</xdr:rowOff>
    </xdr:from>
    <xdr:to>
      <xdr:col>8</xdr:col>
      <xdr:colOff>148590</xdr:colOff>
      <xdr:row>241</xdr:row>
      <xdr:rowOff>186690</xdr:rowOff>
    </xdr:to>
    <xdr:sp macro="" textlink="">
      <xdr:nvSpPr>
        <xdr:cNvPr id="193" name="RT_ARROW_2">
          <a:extLst>
            <a:ext uri="{FF2B5EF4-FFF2-40B4-BE49-F238E27FC236}">
              <a16:creationId xmlns:a16="http://schemas.microsoft.com/office/drawing/2014/main" id="{00000000-0008-0000-0200-0000C1000000}"/>
            </a:ext>
          </a:extLst>
        </xdr:cNvPr>
        <xdr:cNvSpPr/>
      </xdr:nvSpPr>
      <xdr:spPr>
        <a:xfrm>
          <a:off x="8343900" y="57950100"/>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12</xdr:col>
      <xdr:colOff>571500</xdr:colOff>
      <xdr:row>241</xdr:row>
      <xdr:rowOff>142875</xdr:rowOff>
    </xdr:from>
    <xdr:to>
      <xdr:col>21</xdr:col>
      <xdr:colOff>104775</xdr:colOff>
      <xdr:row>241</xdr:row>
      <xdr:rowOff>142875</xdr:rowOff>
    </xdr:to>
    <xdr:cxnSp macro="">
      <xdr:nvCxnSpPr>
        <xdr:cNvPr id="194" name="DOTTED_LINE">
          <a:extLst>
            <a:ext uri="{FF2B5EF4-FFF2-40B4-BE49-F238E27FC236}">
              <a16:creationId xmlns:a16="http://schemas.microsoft.com/office/drawing/2014/main" id="{00000000-0008-0000-0200-0000C2000000}"/>
            </a:ext>
          </a:extLst>
        </xdr:cNvPr>
        <xdr:cNvCxnSpPr/>
      </xdr:nvCxnSpPr>
      <xdr:spPr>
        <a:xfrm>
          <a:off x="10648950" y="56130825"/>
          <a:ext cx="38290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57150</xdr:colOff>
      <xdr:row>242</xdr:row>
      <xdr:rowOff>95250</xdr:rowOff>
    </xdr:from>
    <xdr:to>
      <xdr:col>8</xdr:col>
      <xdr:colOff>148590</xdr:colOff>
      <xdr:row>242</xdr:row>
      <xdr:rowOff>186690</xdr:rowOff>
    </xdr:to>
    <xdr:sp macro="" textlink="">
      <xdr:nvSpPr>
        <xdr:cNvPr id="195" name="RT_ARROW_2">
          <a:extLst>
            <a:ext uri="{FF2B5EF4-FFF2-40B4-BE49-F238E27FC236}">
              <a16:creationId xmlns:a16="http://schemas.microsoft.com/office/drawing/2014/main" id="{00000000-0008-0000-0200-0000C3000000}"/>
            </a:ext>
          </a:extLst>
        </xdr:cNvPr>
        <xdr:cNvSpPr/>
      </xdr:nvSpPr>
      <xdr:spPr>
        <a:xfrm>
          <a:off x="8343900" y="58226325"/>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14</xdr:col>
      <xdr:colOff>57150</xdr:colOff>
      <xdr:row>242</xdr:row>
      <xdr:rowOff>142875</xdr:rowOff>
    </xdr:from>
    <xdr:to>
      <xdr:col>21</xdr:col>
      <xdr:colOff>104775</xdr:colOff>
      <xdr:row>242</xdr:row>
      <xdr:rowOff>142875</xdr:rowOff>
    </xdr:to>
    <xdr:cxnSp macro="">
      <xdr:nvCxnSpPr>
        <xdr:cNvPr id="196" name="DOTTED_LINE">
          <a:extLst>
            <a:ext uri="{FF2B5EF4-FFF2-40B4-BE49-F238E27FC236}">
              <a16:creationId xmlns:a16="http://schemas.microsoft.com/office/drawing/2014/main" id="{00000000-0008-0000-0200-0000C4000000}"/>
            </a:ext>
          </a:extLst>
        </xdr:cNvPr>
        <xdr:cNvCxnSpPr/>
      </xdr:nvCxnSpPr>
      <xdr:spPr>
        <a:xfrm>
          <a:off x="11029950" y="56407050"/>
          <a:ext cx="34480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57150</xdr:colOff>
      <xdr:row>243</xdr:row>
      <xdr:rowOff>95250</xdr:rowOff>
    </xdr:from>
    <xdr:to>
      <xdr:col>8</xdr:col>
      <xdr:colOff>148590</xdr:colOff>
      <xdr:row>243</xdr:row>
      <xdr:rowOff>186690</xdr:rowOff>
    </xdr:to>
    <xdr:sp macro="" textlink="">
      <xdr:nvSpPr>
        <xdr:cNvPr id="197" name="RT_ARROW_2">
          <a:extLst>
            <a:ext uri="{FF2B5EF4-FFF2-40B4-BE49-F238E27FC236}">
              <a16:creationId xmlns:a16="http://schemas.microsoft.com/office/drawing/2014/main" id="{00000000-0008-0000-0200-0000C5000000}"/>
            </a:ext>
          </a:extLst>
        </xdr:cNvPr>
        <xdr:cNvSpPr/>
      </xdr:nvSpPr>
      <xdr:spPr>
        <a:xfrm>
          <a:off x="8343900" y="65532000"/>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13</xdr:col>
      <xdr:colOff>161925</xdr:colOff>
      <xdr:row>243</xdr:row>
      <xdr:rowOff>142875</xdr:rowOff>
    </xdr:from>
    <xdr:to>
      <xdr:col>21</xdr:col>
      <xdr:colOff>104775</xdr:colOff>
      <xdr:row>243</xdr:row>
      <xdr:rowOff>142875</xdr:rowOff>
    </xdr:to>
    <xdr:cxnSp macro="">
      <xdr:nvCxnSpPr>
        <xdr:cNvPr id="198" name="DOTTED_LINE">
          <a:extLst>
            <a:ext uri="{FF2B5EF4-FFF2-40B4-BE49-F238E27FC236}">
              <a16:creationId xmlns:a16="http://schemas.microsoft.com/office/drawing/2014/main" id="{00000000-0008-0000-0200-0000C6000000}"/>
            </a:ext>
          </a:extLst>
        </xdr:cNvPr>
        <xdr:cNvCxnSpPr/>
      </xdr:nvCxnSpPr>
      <xdr:spPr>
        <a:xfrm>
          <a:off x="10953750" y="56683275"/>
          <a:ext cx="35242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304800</xdr:colOff>
      <xdr:row>245</xdr:row>
      <xdr:rowOff>152400</xdr:rowOff>
    </xdr:from>
    <xdr:to>
      <xdr:col>21</xdr:col>
      <xdr:colOff>133350</xdr:colOff>
      <xdr:row>245</xdr:row>
      <xdr:rowOff>152400</xdr:rowOff>
    </xdr:to>
    <xdr:cxnSp macro="">
      <xdr:nvCxnSpPr>
        <xdr:cNvPr id="199" name="DOTTED_LINE">
          <a:extLst>
            <a:ext uri="{FF2B5EF4-FFF2-40B4-BE49-F238E27FC236}">
              <a16:creationId xmlns:a16="http://schemas.microsoft.com/office/drawing/2014/main" id="{00000000-0008-0000-0200-0000C7000000}"/>
            </a:ext>
          </a:extLst>
        </xdr:cNvPr>
        <xdr:cNvCxnSpPr/>
      </xdr:nvCxnSpPr>
      <xdr:spPr>
        <a:xfrm>
          <a:off x="13963650" y="57245250"/>
          <a:ext cx="5429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66675</xdr:colOff>
      <xdr:row>247</xdr:row>
      <xdr:rowOff>152400</xdr:rowOff>
    </xdr:from>
    <xdr:to>
      <xdr:col>21</xdr:col>
      <xdr:colOff>133350</xdr:colOff>
      <xdr:row>247</xdr:row>
      <xdr:rowOff>152400</xdr:rowOff>
    </xdr:to>
    <xdr:cxnSp macro="">
      <xdr:nvCxnSpPr>
        <xdr:cNvPr id="200" name="DOTTED_LINE">
          <a:extLst>
            <a:ext uri="{FF2B5EF4-FFF2-40B4-BE49-F238E27FC236}">
              <a16:creationId xmlns:a16="http://schemas.microsoft.com/office/drawing/2014/main" id="{00000000-0008-0000-0200-0000C8000000}"/>
            </a:ext>
          </a:extLst>
        </xdr:cNvPr>
        <xdr:cNvCxnSpPr/>
      </xdr:nvCxnSpPr>
      <xdr:spPr>
        <a:xfrm>
          <a:off x="13544550" y="57797700"/>
          <a:ext cx="9620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571500</xdr:colOff>
      <xdr:row>249</xdr:row>
      <xdr:rowOff>152400</xdr:rowOff>
    </xdr:from>
    <xdr:to>
      <xdr:col>21</xdr:col>
      <xdr:colOff>133350</xdr:colOff>
      <xdr:row>249</xdr:row>
      <xdr:rowOff>152400</xdr:rowOff>
    </xdr:to>
    <xdr:cxnSp macro="">
      <xdr:nvCxnSpPr>
        <xdr:cNvPr id="201" name="DOTTED_LINE">
          <a:extLst>
            <a:ext uri="{FF2B5EF4-FFF2-40B4-BE49-F238E27FC236}">
              <a16:creationId xmlns:a16="http://schemas.microsoft.com/office/drawing/2014/main" id="{00000000-0008-0000-0200-0000C9000000}"/>
            </a:ext>
          </a:extLst>
        </xdr:cNvPr>
        <xdr:cNvCxnSpPr/>
      </xdr:nvCxnSpPr>
      <xdr:spPr>
        <a:xfrm>
          <a:off x="11544300" y="58350150"/>
          <a:ext cx="29622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619125</xdr:colOff>
      <xdr:row>402</xdr:row>
      <xdr:rowOff>142875</xdr:rowOff>
    </xdr:from>
    <xdr:to>
      <xdr:col>21</xdr:col>
      <xdr:colOff>104775</xdr:colOff>
      <xdr:row>402</xdr:row>
      <xdr:rowOff>142875</xdr:rowOff>
    </xdr:to>
    <xdr:cxnSp macro="">
      <xdr:nvCxnSpPr>
        <xdr:cNvPr id="204" name="DOTTED_LINE">
          <a:extLst>
            <a:ext uri="{FF2B5EF4-FFF2-40B4-BE49-F238E27FC236}">
              <a16:creationId xmlns:a16="http://schemas.microsoft.com/office/drawing/2014/main" id="{00000000-0008-0000-0200-0000CC000000}"/>
            </a:ext>
          </a:extLst>
        </xdr:cNvPr>
        <xdr:cNvCxnSpPr/>
      </xdr:nvCxnSpPr>
      <xdr:spPr>
        <a:xfrm>
          <a:off x="14277975" y="106060875"/>
          <a:ext cx="2000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95250</xdr:colOff>
      <xdr:row>411</xdr:row>
      <xdr:rowOff>142875</xdr:rowOff>
    </xdr:from>
    <xdr:to>
      <xdr:col>21</xdr:col>
      <xdr:colOff>104775</xdr:colOff>
      <xdr:row>411</xdr:row>
      <xdr:rowOff>142875</xdr:rowOff>
    </xdr:to>
    <xdr:cxnSp macro="">
      <xdr:nvCxnSpPr>
        <xdr:cNvPr id="205" name="DOTTED_LINE">
          <a:extLst>
            <a:ext uri="{FF2B5EF4-FFF2-40B4-BE49-F238E27FC236}">
              <a16:creationId xmlns:a16="http://schemas.microsoft.com/office/drawing/2014/main" id="{00000000-0008-0000-0200-0000CD000000}"/>
            </a:ext>
          </a:extLst>
        </xdr:cNvPr>
        <xdr:cNvCxnSpPr/>
      </xdr:nvCxnSpPr>
      <xdr:spPr>
        <a:xfrm>
          <a:off x="13573125" y="95078550"/>
          <a:ext cx="9048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266700</xdr:colOff>
      <xdr:row>420</xdr:row>
      <xdr:rowOff>142875</xdr:rowOff>
    </xdr:from>
    <xdr:to>
      <xdr:col>21</xdr:col>
      <xdr:colOff>104775</xdr:colOff>
      <xdr:row>420</xdr:row>
      <xdr:rowOff>142875</xdr:rowOff>
    </xdr:to>
    <xdr:cxnSp macro="">
      <xdr:nvCxnSpPr>
        <xdr:cNvPr id="206" name="DOTTED_LINE">
          <a:extLst>
            <a:ext uri="{FF2B5EF4-FFF2-40B4-BE49-F238E27FC236}">
              <a16:creationId xmlns:a16="http://schemas.microsoft.com/office/drawing/2014/main" id="{00000000-0008-0000-0200-0000CE000000}"/>
            </a:ext>
          </a:extLst>
        </xdr:cNvPr>
        <xdr:cNvCxnSpPr/>
      </xdr:nvCxnSpPr>
      <xdr:spPr>
        <a:xfrm>
          <a:off x="13030200" y="97564575"/>
          <a:ext cx="14478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171450</xdr:colOff>
      <xdr:row>432</xdr:row>
      <xdr:rowOff>152400</xdr:rowOff>
    </xdr:from>
    <xdr:to>
      <xdr:col>21</xdr:col>
      <xdr:colOff>133350</xdr:colOff>
      <xdr:row>432</xdr:row>
      <xdr:rowOff>152400</xdr:rowOff>
    </xdr:to>
    <xdr:cxnSp macro="">
      <xdr:nvCxnSpPr>
        <xdr:cNvPr id="207" name="DOTTED_LINE">
          <a:extLst>
            <a:ext uri="{FF2B5EF4-FFF2-40B4-BE49-F238E27FC236}">
              <a16:creationId xmlns:a16="http://schemas.microsoft.com/office/drawing/2014/main" id="{00000000-0008-0000-0200-0000CF000000}"/>
            </a:ext>
          </a:extLst>
        </xdr:cNvPr>
        <xdr:cNvCxnSpPr/>
      </xdr:nvCxnSpPr>
      <xdr:spPr>
        <a:xfrm>
          <a:off x="10067925" y="100888800"/>
          <a:ext cx="44386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476250</xdr:colOff>
      <xdr:row>433</xdr:row>
      <xdr:rowOff>152400</xdr:rowOff>
    </xdr:from>
    <xdr:to>
      <xdr:col>21</xdr:col>
      <xdr:colOff>133350</xdr:colOff>
      <xdr:row>433</xdr:row>
      <xdr:rowOff>152400</xdr:rowOff>
    </xdr:to>
    <xdr:cxnSp macro="">
      <xdr:nvCxnSpPr>
        <xdr:cNvPr id="208" name="DOTTED_LINE">
          <a:extLst>
            <a:ext uri="{FF2B5EF4-FFF2-40B4-BE49-F238E27FC236}">
              <a16:creationId xmlns:a16="http://schemas.microsoft.com/office/drawing/2014/main" id="{00000000-0008-0000-0200-0000D0000000}"/>
            </a:ext>
          </a:extLst>
        </xdr:cNvPr>
        <xdr:cNvCxnSpPr/>
      </xdr:nvCxnSpPr>
      <xdr:spPr>
        <a:xfrm>
          <a:off x="10553700" y="101165025"/>
          <a:ext cx="39528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38100</xdr:colOff>
      <xdr:row>434</xdr:row>
      <xdr:rowOff>152400</xdr:rowOff>
    </xdr:from>
    <xdr:to>
      <xdr:col>21</xdr:col>
      <xdr:colOff>133350</xdr:colOff>
      <xdr:row>434</xdr:row>
      <xdr:rowOff>152400</xdr:rowOff>
    </xdr:to>
    <xdr:cxnSp macro="">
      <xdr:nvCxnSpPr>
        <xdr:cNvPr id="209" name="DOTTED_LINE">
          <a:extLst>
            <a:ext uri="{FF2B5EF4-FFF2-40B4-BE49-F238E27FC236}">
              <a16:creationId xmlns:a16="http://schemas.microsoft.com/office/drawing/2014/main" id="{00000000-0008-0000-0200-0000D1000000}"/>
            </a:ext>
          </a:extLst>
        </xdr:cNvPr>
        <xdr:cNvCxnSpPr/>
      </xdr:nvCxnSpPr>
      <xdr:spPr>
        <a:xfrm>
          <a:off x="10115550" y="101441250"/>
          <a:ext cx="43910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609600</xdr:colOff>
      <xdr:row>435</xdr:row>
      <xdr:rowOff>152400</xdr:rowOff>
    </xdr:from>
    <xdr:to>
      <xdr:col>21</xdr:col>
      <xdr:colOff>133350</xdr:colOff>
      <xdr:row>435</xdr:row>
      <xdr:rowOff>152400</xdr:rowOff>
    </xdr:to>
    <xdr:cxnSp macro="">
      <xdr:nvCxnSpPr>
        <xdr:cNvPr id="210" name="DOTTED_LINE">
          <a:extLst>
            <a:ext uri="{FF2B5EF4-FFF2-40B4-BE49-F238E27FC236}">
              <a16:creationId xmlns:a16="http://schemas.microsoft.com/office/drawing/2014/main" id="{00000000-0008-0000-0200-0000D2000000}"/>
            </a:ext>
          </a:extLst>
        </xdr:cNvPr>
        <xdr:cNvCxnSpPr/>
      </xdr:nvCxnSpPr>
      <xdr:spPr>
        <a:xfrm>
          <a:off x="9791700" y="101717475"/>
          <a:ext cx="47148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9525</xdr:colOff>
      <xdr:row>436</xdr:row>
      <xdr:rowOff>152400</xdr:rowOff>
    </xdr:from>
    <xdr:to>
      <xdr:col>21</xdr:col>
      <xdr:colOff>133350</xdr:colOff>
      <xdr:row>436</xdr:row>
      <xdr:rowOff>152400</xdr:rowOff>
    </xdr:to>
    <xdr:cxnSp macro="">
      <xdr:nvCxnSpPr>
        <xdr:cNvPr id="211" name="DOTTED_LINE">
          <a:extLst>
            <a:ext uri="{FF2B5EF4-FFF2-40B4-BE49-F238E27FC236}">
              <a16:creationId xmlns:a16="http://schemas.microsoft.com/office/drawing/2014/main" id="{00000000-0008-0000-0200-0000D3000000}"/>
            </a:ext>
          </a:extLst>
        </xdr:cNvPr>
        <xdr:cNvCxnSpPr/>
      </xdr:nvCxnSpPr>
      <xdr:spPr>
        <a:xfrm>
          <a:off x="10086975" y="101993700"/>
          <a:ext cx="44196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9525</xdr:colOff>
      <xdr:row>437</xdr:row>
      <xdr:rowOff>152400</xdr:rowOff>
    </xdr:from>
    <xdr:to>
      <xdr:col>21</xdr:col>
      <xdr:colOff>133350</xdr:colOff>
      <xdr:row>437</xdr:row>
      <xdr:rowOff>152400</xdr:rowOff>
    </xdr:to>
    <xdr:cxnSp macro="">
      <xdr:nvCxnSpPr>
        <xdr:cNvPr id="212" name="DOTTED_LINE">
          <a:extLst>
            <a:ext uri="{FF2B5EF4-FFF2-40B4-BE49-F238E27FC236}">
              <a16:creationId xmlns:a16="http://schemas.microsoft.com/office/drawing/2014/main" id="{00000000-0008-0000-0200-0000D4000000}"/>
            </a:ext>
          </a:extLst>
        </xdr:cNvPr>
        <xdr:cNvCxnSpPr/>
      </xdr:nvCxnSpPr>
      <xdr:spPr>
        <a:xfrm>
          <a:off x="10086975" y="102269925"/>
          <a:ext cx="44196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21</xdr:col>
      <xdr:colOff>161925</xdr:colOff>
      <xdr:row>315</xdr:row>
      <xdr:rowOff>257175</xdr:rowOff>
    </xdr:from>
    <xdr:to>
      <xdr:col>24</xdr:col>
      <xdr:colOff>114300</xdr:colOff>
      <xdr:row>317</xdr:row>
      <xdr:rowOff>9525</xdr:rowOff>
    </xdr:to>
    <xdr:sp macro="" textlink="">
      <xdr:nvSpPr>
        <xdr:cNvPr id="213" name="LINK_RENTAL_TOC">
          <a:hlinkClick xmlns:r="http://schemas.openxmlformats.org/officeDocument/2006/relationships" r:id="rId18"/>
          <a:extLst>
            <a:ext uri="{FF2B5EF4-FFF2-40B4-BE49-F238E27FC236}">
              <a16:creationId xmlns:a16="http://schemas.microsoft.com/office/drawing/2014/main" id="{00000000-0008-0000-0200-0000D5000000}"/>
            </a:ext>
          </a:extLst>
        </xdr:cNvPr>
        <xdr:cNvSpPr/>
      </xdr:nvSpPr>
      <xdr:spPr>
        <a:xfrm>
          <a:off x="14535150" y="7496175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21</xdr:col>
      <xdr:colOff>161925</xdr:colOff>
      <xdr:row>365</xdr:row>
      <xdr:rowOff>247650</xdr:rowOff>
    </xdr:from>
    <xdr:to>
      <xdr:col>24</xdr:col>
      <xdr:colOff>114300</xdr:colOff>
      <xdr:row>367</xdr:row>
      <xdr:rowOff>0</xdr:rowOff>
    </xdr:to>
    <xdr:sp macro="" textlink="">
      <xdr:nvSpPr>
        <xdr:cNvPr id="214" name="LINK_RENTAL_TOC">
          <a:hlinkClick xmlns:r="http://schemas.openxmlformats.org/officeDocument/2006/relationships" r:id="rId18"/>
          <a:extLst>
            <a:ext uri="{FF2B5EF4-FFF2-40B4-BE49-F238E27FC236}">
              <a16:creationId xmlns:a16="http://schemas.microsoft.com/office/drawing/2014/main" id="{00000000-0008-0000-0200-0000D6000000}"/>
            </a:ext>
          </a:extLst>
        </xdr:cNvPr>
        <xdr:cNvSpPr/>
      </xdr:nvSpPr>
      <xdr:spPr>
        <a:xfrm>
          <a:off x="14535150" y="9705022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oneCellAnchor>
    <xdr:from>
      <xdr:col>16</xdr:col>
      <xdr:colOff>314325</xdr:colOff>
      <xdr:row>12</xdr:row>
      <xdr:rowOff>9525</xdr:rowOff>
    </xdr:from>
    <xdr:ext cx="2181225" cy="264560"/>
    <xdr:sp macro="" textlink="$AC$13">
      <xdr:nvSpPr>
        <xdr:cNvPr id="215" name="TOC_SECTION_LINK">
          <a:hlinkClick xmlns:r="http://schemas.openxmlformats.org/officeDocument/2006/relationships" r:id="rId20"/>
          <a:extLst>
            <a:ext uri="{FF2B5EF4-FFF2-40B4-BE49-F238E27FC236}">
              <a16:creationId xmlns:a16="http://schemas.microsoft.com/office/drawing/2014/main" id="{00000000-0008-0000-0200-0000D7000000}"/>
            </a:ext>
          </a:extLst>
        </xdr:cNvPr>
        <xdr:cNvSpPr txBox="1"/>
      </xdr:nvSpPr>
      <xdr:spPr>
        <a:xfrm>
          <a:off x="12182475" y="2466975"/>
          <a:ext cx="2181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04141302-250D-46ED-9EDF-3048E5A9C2F9}" type="TxLink">
            <a:rPr lang="en-US" sz="900" b="1" i="0" u="sng" strike="noStrike">
              <a:solidFill>
                <a:srgbClr val="366092"/>
              </a:solidFill>
              <a:latin typeface="Arial"/>
              <a:cs typeface="Arial"/>
            </a:rPr>
            <a:pPr algn="l"/>
            <a:t>Targeting</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twoCellAnchor editAs="oneCell">
    <xdr:from>
      <xdr:col>21</xdr:col>
      <xdr:colOff>161925</xdr:colOff>
      <xdr:row>438</xdr:row>
      <xdr:rowOff>257175</xdr:rowOff>
    </xdr:from>
    <xdr:to>
      <xdr:col>24</xdr:col>
      <xdr:colOff>114300</xdr:colOff>
      <xdr:row>440</xdr:row>
      <xdr:rowOff>9525</xdr:rowOff>
    </xdr:to>
    <xdr:sp macro="" textlink="">
      <xdr:nvSpPr>
        <xdr:cNvPr id="217" name="LINK_RENTAL_TOC">
          <a:hlinkClick xmlns:r="http://schemas.openxmlformats.org/officeDocument/2006/relationships" r:id="rId18"/>
          <a:extLst>
            <a:ext uri="{FF2B5EF4-FFF2-40B4-BE49-F238E27FC236}">
              <a16:creationId xmlns:a16="http://schemas.microsoft.com/office/drawing/2014/main" id="{00000000-0008-0000-0200-0000D9000000}"/>
            </a:ext>
          </a:extLst>
        </xdr:cNvPr>
        <xdr:cNvSpPr/>
      </xdr:nvSpPr>
      <xdr:spPr>
        <a:xfrm>
          <a:off x="14535150" y="11611927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xdr:from>
      <xdr:col>12</xdr:col>
      <xdr:colOff>133350</xdr:colOff>
      <xdr:row>452</xdr:row>
      <xdr:rowOff>152400</xdr:rowOff>
    </xdr:from>
    <xdr:to>
      <xdr:col>15</xdr:col>
      <xdr:colOff>104775</xdr:colOff>
      <xdr:row>452</xdr:row>
      <xdr:rowOff>152400</xdr:rowOff>
    </xdr:to>
    <xdr:cxnSp macro="">
      <xdr:nvCxnSpPr>
        <xdr:cNvPr id="219" name="DOTTED_LINE">
          <a:extLst>
            <a:ext uri="{FF2B5EF4-FFF2-40B4-BE49-F238E27FC236}">
              <a16:creationId xmlns:a16="http://schemas.microsoft.com/office/drawing/2014/main" id="{00000000-0008-0000-0200-0000DB000000}"/>
            </a:ext>
          </a:extLst>
        </xdr:cNvPr>
        <xdr:cNvCxnSpPr/>
      </xdr:nvCxnSpPr>
      <xdr:spPr>
        <a:xfrm>
          <a:off x="10210800" y="106413300"/>
          <a:ext cx="15811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57150</xdr:colOff>
      <xdr:row>455</xdr:row>
      <xdr:rowOff>152400</xdr:rowOff>
    </xdr:from>
    <xdr:to>
      <xdr:col>21</xdr:col>
      <xdr:colOff>85730</xdr:colOff>
      <xdr:row>455</xdr:row>
      <xdr:rowOff>162400</xdr:rowOff>
    </xdr:to>
    <xdr:cxnSp macro="">
      <xdr:nvCxnSpPr>
        <xdr:cNvPr id="223" name="DOTTED_LINE">
          <a:extLst>
            <a:ext uri="{FF2B5EF4-FFF2-40B4-BE49-F238E27FC236}">
              <a16:creationId xmlns:a16="http://schemas.microsoft.com/office/drawing/2014/main" id="{00000000-0008-0000-0200-0000DF000000}"/>
            </a:ext>
          </a:extLst>
        </xdr:cNvPr>
        <xdr:cNvCxnSpPr/>
      </xdr:nvCxnSpPr>
      <xdr:spPr>
        <a:xfrm flipH="1">
          <a:off x="10848975" y="107241975"/>
          <a:ext cx="3609980" cy="1000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142875</xdr:colOff>
      <xdr:row>465</xdr:row>
      <xdr:rowOff>152400</xdr:rowOff>
    </xdr:from>
    <xdr:to>
      <xdr:col>21</xdr:col>
      <xdr:colOff>85730</xdr:colOff>
      <xdr:row>465</xdr:row>
      <xdr:rowOff>164643</xdr:rowOff>
    </xdr:to>
    <xdr:cxnSp macro="">
      <xdr:nvCxnSpPr>
        <xdr:cNvPr id="224" name="DOTTED_LINE">
          <a:extLst>
            <a:ext uri="{FF2B5EF4-FFF2-40B4-BE49-F238E27FC236}">
              <a16:creationId xmlns:a16="http://schemas.microsoft.com/office/drawing/2014/main" id="{00000000-0008-0000-0200-0000E0000000}"/>
            </a:ext>
          </a:extLst>
        </xdr:cNvPr>
        <xdr:cNvCxnSpPr/>
      </xdr:nvCxnSpPr>
      <xdr:spPr>
        <a:xfrm flipH="1">
          <a:off x="10039350" y="130101975"/>
          <a:ext cx="4419605" cy="12243"/>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533400</xdr:colOff>
      <xdr:row>466</xdr:row>
      <xdr:rowOff>152400</xdr:rowOff>
    </xdr:from>
    <xdr:to>
      <xdr:col>21</xdr:col>
      <xdr:colOff>85730</xdr:colOff>
      <xdr:row>466</xdr:row>
      <xdr:rowOff>161925</xdr:rowOff>
    </xdr:to>
    <xdr:cxnSp macro="">
      <xdr:nvCxnSpPr>
        <xdr:cNvPr id="225" name="DOTTED_LINE">
          <a:extLst>
            <a:ext uri="{FF2B5EF4-FFF2-40B4-BE49-F238E27FC236}">
              <a16:creationId xmlns:a16="http://schemas.microsoft.com/office/drawing/2014/main" id="{00000000-0008-0000-0200-0000E1000000}"/>
            </a:ext>
          </a:extLst>
        </xdr:cNvPr>
        <xdr:cNvCxnSpPr/>
      </xdr:nvCxnSpPr>
      <xdr:spPr>
        <a:xfrm flipH="1">
          <a:off x="9715500" y="130378200"/>
          <a:ext cx="4743455" cy="9525"/>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276225</xdr:colOff>
      <xdr:row>467</xdr:row>
      <xdr:rowOff>133350</xdr:rowOff>
    </xdr:from>
    <xdr:to>
      <xdr:col>21</xdr:col>
      <xdr:colOff>85731</xdr:colOff>
      <xdr:row>467</xdr:row>
      <xdr:rowOff>151667</xdr:rowOff>
    </xdr:to>
    <xdr:cxnSp macro="">
      <xdr:nvCxnSpPr>
        <xdr:cNvPr id="226" name="DOTTED_LINE">
          <a:extLst>
            <a:ext uri="{FF2B5EF4-FFF2-40B4-BE49-F238E27FC236}">
              <a16:creationId xmlns:a16="http://schemas.microsoft.com/office/drawing/2014/main" id="{00000000-0008-0000-0200-0000E2000000}"/>
            </a:ext>
          </a:extLst>
        </xdr:cNvPr>
        <xdr:cNvCxnSpPr/>
      </xdr:nvCxnSpPr>
      <xdr:spPr>
        <a:xfrm flipH="1">
          <a:off x="9458325" y="108261150"/>
          <a:ext cx="5000631" cy="18317"/>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114300</xdr:colOff>
      <xdr:row>468</xdr:row>
      <xdr:rowOff>152400</xdr:rowOff>
    </xdr:from>
    <xdr:to>
      <xdr:col>21</xdr:col>
      <xdr:colOff>85731</xdr:colOff>
      <xdr:row>468</xdr:row>
      <xdr:rowOff>163579</xdr:rowOff>
    </xdr:to>
    <xdr:cxnSp macro="">
      <xdr:nvCxnSpPr>
        <xdr:cNvPr id="227" name="DOTTED_LINE">
          <a:extLst>
            <a:ext uri="{FF2B5EF4-FFF2-40B4-BE49-F238E27FC236}">
              <a16:creationId xmlns:a16="http://schemas.microsoft.com/office/drawing/2014/main" id="{00000000-0008-0000-0200-0000E3000000}"/>
            </a:ext>
          </a:extLst>
        </xdr:cNvPr>
        <xdr:cNvCxnSpPr/>
      </xdr:nvCxnSpPr>
      <xdr:spPr>
        <a:xfrm flipH="1">
          <a:off x="9115425" y="108556425"/>
          <a:ext cx="5343531" cy="11179"/>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428625</xdr:colOff>
      <xdr:row>469</xdr:row>
      <xdr:rowOff>152400</xdr:rowOff>
    </xdr:from>
    <xdr:to>
      <xdr:col>21</xdr:col>
      <xdr:colOff>85732</xdr:colOff>
      <xdr:row>469</xdr:row>
      <xdr:rowOff>152400</xdr:rowOff>
    </xdr:to>
    <xdr:cxnSp macro="">
      <xdr:nvCxnSpPr>
        <xdr:cNvPr id="228" name="DOTTED_LINE">
          <a:extLst>
            <a:ext uri="{FF2B5EF4-FFF2-40B4-BE49-F238E27FC236}">
              <a16:creationId xmlns:a16="http://schemas.microsoft.com/office/drawing/2014/main" id="{00000000-0008-0000-0200-0000E4000000}"/>
            </a:ext>
          </a:extLst>
        </xdr:cNvPr>
        <xdr:cNvCxnSpPr/>
      </xdr:nvCxnSpPr>
      <xdr:spPr>
        <a:xfrm flipH="1">
          <a:off x="10506075" y="111109125"/>
          <a:ext cx="3952882"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57150</xdr:colOff>
      <xdr:row>476</xdr:row>
      <xdr:rowOff>152400</xdr:rowOff>
    </xdr:from>
    <xdr:to>
      <xdr:col>13</xdr:col>
      <xdr:colOff>133350</xdr:colOff>
      <xdr:row>476</xdr:row>
      <xdr:rowOff>152400</xdr:rowOff>
    </xdr:to>
    <xdr:cxnSp macro="">
      <xdr:nvCxnSpPr>
        <xdr:cNvPr id="229" name="DOTTED_LINE">
          <a:extLst>
            <a:ext uri="{FF2B5EF4-FFF2-40B4-BE49-F238E27FC236}">
              <a16:creationId xmlns:a16="http://schemas.microsoft.com/office/drawing/2014/main" id="{00000000-0008-0000-0200-0000E5000000}"/>
            </a:ext>
          </a:extLst>
        </xdr:cNvPr>
        <xdr:cNvCxnSpPr/>
      </xdr:nvCxnSpPr>
      <xdr:spPr>
        <a:xfrm>
          <a:off x="9953625" y="132311775"/>
          <a:ext cx="9715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503</xdr:row>
      <xdr:rowOff>142875</xdr:rowOff>
    </xdr:from>
    <xdr:to>
      <xdr:col>21</xdr:col>
      <xdr:colOff>104775</xdr:colOff>
      <xdr:row>503</xdr:row>
      <xdr:rowOff>142875</xdr:rowOff>
    </xdr:to>
    <xdr:cxnSp macro="">
      <xdr:nvCxnSpPr>
        <xdr:cNvPr id="231" name="DOTTED_LINE">
          <a:extLst>
            <a:ext uri="{FF2B5EF4-FFF2-40B4-BE49-F238E27FC236}">
              <a16:creationId xmlns:a16="http://schemas.microsoft.com/office/drawing/2014/main" id="{00000000-0008-0000-0200-0000E7000000}"/>
            </a:ext>
          </a:extLst>
        </xdr:cNvPr>
        <xdr:cNvCxnSpPr/>
      </xdr:nvCxnSpPr>
      <xdr:spPr>
        <a:xfrm>
          <a:off x="10791825" y="138931650"/>
          <a:ext cx="36861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314325</xdr:colOff>
      <xdr:row>15</xdr:row>
      <xdr:rowOff>9525</xdr:rowOff>
    </xdr:from>
    <xdr:ext cx="2181225" cy="264560"/>
    <xdr:sp macro="" textlink="$AC$16">
      <xdr:nvSpPr>
        <xdr:cNvPr id="232" name="TOC_SECTION_LINK">
          <a:hlinkClick xmlns:r="http://schemas.openxmlformats.org/officeDocument/2006/relationships" r:id="rId21"/>
          <a:extLst>
            <a:ext uri="{FF2B5EF4-FFF2-40B4-BE49-F238E27FC236}">
              <a16:creationId xmlns:a16="http://schemas.microsoft.com/office/drawing/2014/main" id="{00000000-0008-0000-0200-0000E8000000}"/>
            </a:ext>
          </a:extLst>
        </xdr:cNvPr>
        <xdr:cNvSpPr txBox="1"/>
      </xdr:nvSpPr>
      <xdr:spPr>
        <a:xfrm>
          <a:off x="12182475" y="3295650"/>
          <a:ext cx="2181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257D9B3C-D8E6-491E-84BD-0D21282904D7}" type="TxLink">
            <a:rPr lang="en-US" sz="900" b="1" i="0" u="sng" strike="noStrike">
              <a:solidFill>
                <a:srgbClr val="366092"/>
              </a:solidFill>
              <a:latin typeface="Arial"/>
              <a:cs typeface="Arial"/>
            </a:rPr>
            <a:pPr algn="l"/>
            <a:t>Home Purchase</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twoCellAnchor>
    <xdr:from>
      <xdr:col>11</xdr:col>
      <xdr:colOff>19050</xdr:colOff>
      <xdr:row>574</xdr:row>
      <xdr:rowOff>152400</xdr:rowOff>
    </xdr:from>
    <xdr:to>
      <xdr:col>21</xdr:col>
      <xdr:colOff>85732</xdr:colOff>
      <xdr:row>574</xdr:row>
      <xdr:rowOff>152400</xdr:rowOff>
    </xdr:to>
    <xdr:cxnSp macro="">
      <xdr:nvCxnSpPr>
        <xdr:cNvPr id="234" name="DOTTED_LINE">
          <a:extLst>
            <a:ext uri="{FF2B5EF4-FFF2-40B4-BE49-F238E27FC236}">
              <a16:creationId xmlns:a16="http://schemas.microsoft.com/office/drawing/2014/main" id="{00000000-0008-0000-0200-0000EA000000}"/>
            </a:ext>
          </a:extLst>
        </xdr:cNvPr>
        <xdr:cNvCxnSpPr/>
      </xdr:nvCxnSpPr>
      <xdr:spPr>
        <a:xfrm flipH="1">
          <a:off x="9915525" y="156962475"/>
          <a:ext cx="4543432"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638175</xdr:colOff>
      <xdr:row>578</xdr:row>
      <xdr:rowOff>152400</xdr:rowOff>
    </xdr:from>
    <xdr:to>
      <xdr:col>21</xdr:col>
      <xdr:colOff>85731</xdr:colOff>
      <xdr:row>578</xdr:row>
      <xdr:rowOff>152400</xdr:rowOff>
    </xdr:to>
    <xdr:cxnSp macro="">
      <xdr:nvCxnSpPr>
        <xdr:cNvPr id="235" name="DOTTED_LINE">
          <a:extLst>
            <a:ext uri="{FF2B5EF4-FFF2-40B4-BE49-F238E27FC236}">
              <a16:creationId xmlns:a16="http://schemas.microsoft.com/office/drawing/2014/main" id="{00000000-0008-0000-0200-0000EB000000}"/>
            </a:ext>
          </a:extLst>
        </xdr:cNvPr>
        <xdr:cNvCxnSpPr/>
      </xdr:nvCxnSpPr>
      <xdr:spPr>
        <a:xfrm flipH="1">
          <a:off x="11610975" y="145018125"/>
          <a:ext cx="2847981"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133350</xdr:colOff>
      <xdr:row>587</xdr:row>
      <xdr:rowOff>152400</xdr:rowOff>
    </xdr:from>
    <xdr:to>
      <xdr:col>21</xdr:col>
      <xdr:colOff>85730</xdr:colOff>
      <xdr:row>587</xdr:row>
      <xdr:rowOff>152400</xdr:rowOff>
    </xdr:to>
    <xdr:cxnSp macro="">
      <xdr:nvCxnSpPr>
        <xdr:cNvPr id="236" name="DOTTED_LINE">
          <a:extLst>
            <a:ext uri="{FF2B5EF4-FFF2-40B4-BE49-F238E27FC236}">
              <a16:creationId xmlns:a16="http://schemas.microsoft.com/office/drawing/2014/main" id="{00000000-0008-0000-0200-0000EC000000}"/>
            </a:ext>
          </a:extLst>
        </xdr:cNvPr>
        <xdr:cNvCxnSpPr/>
      </xdr:nvCxnSpPr>
      <xdr:spPr>
        <a:xfrm flipH="1">
          <a:off x="13611225" y="160553400"/>
          <a:ext cx="84773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190500</xdr:colOff>
      <xdr:row>591</xdr:row>
      <xdr:rowOff>152400</xdr:rowOff>
    </xdr:from>
    <xdr:to>
      <xdr:col>21</xdr:col>
      <xdr:colOff>85731</xdr:colOff>
      <xdr:row>591</xdr:row>
      <xdr:rowOff>152400</xdr:rowOff>
    </xdr:to>
    <xdr:cxnSp macro="">
      <xdr:nvCxnSpPr>
        <xdr:cNvPr id="237" name="DOTTED_LINE">
          <a:extLst>
            <a:ext uri="{FF2B5EF4-FFF2-40B4-BE49-F238E27FC236}">
              <a16:creationId xmlns:a16="http://schemas.microsoft.com/office/drawing/2014/main" id="{00000000-0008-0000-0200-0000ED000000}"/>
            </a:ext>
          </a:extLst>
        </xdr:cNvPr>
        <xdr:cNvCxnSpPr/>
      </xdr:nvCxnSpPr>
      <xdr:spPr>
        <a:xfrm flipH="1">
          <a:off x="11163300" y="132654675"/>
          <a:ext cx="3295656"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9525</xdr:colOff>
      <xdr:row>595</xdr:row>
      <xdr:rowOff>152400</xdr:rowOff>
    </xdr:from>
    <xdr:to>
      <xdr:col>21</xdr:col>
      <xdr:colOff>85732</xdr:colOff>
      <xdr:row>595</xdr:row>
      <xdr:rowOff>152400</xdr:rowOff>
    </xdr:to>
    <xdr:cxnSp macro="">
      <xdr:nvCxnSpPr>
        <xdr:cNvPr id="238" name="DOTTED_LINE">
          <a:extLst>
            <a:ext uri="{FF2B5EF4-FFF2-40B4-BE49-F238E27FC236}">
              <a16:creationId xmlns:a16="http://schemas.microsoft.com/office/drawing/2014/main" id="{00000000-0008-0000-0200-0000EE000000}"/>
            </a:ext>
          </a:extLst>
        </xdr:cNvPr>
        <xdr:cNvCxnSpPr/>
      </xdr:nvCxnSpPr>
      <xdr:spPr>
        <a:xfrm flipH="1">
          <a:off x="11877675" y="133759575"/>
          <a:ext cx="2581282"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38100</xdr:colOff>
      <xdr:row>600</xdr:row>
      <xdr:rowOff>152400</xdr:rowOff>
    </xdr:from>
    <xdr:to>
      <xdr:col>21</xdr:col>
      <xdr:colOff>85732</xdr:colOff>
      <xdr:row>600</xdr:row>
      <xdr:rowOff>152400</xdr:rowOff>
    </xdr:to>
    <xdr:cxnSp macro="">
      <xdr:nvCxnSpPr>
        <xdr:cNvPr id="239" name="DOTTED_LINE">
          <a:extLst>
            <a:ext uri="{FF2B5EF4-FFF2-40B4-BE49-F238E27FC236}">
              <a16:creationId xmlns:a16="http://schemas.microsoft.com/office/drawing/2014/main" id="{00000000-0008-0000-0200-0000EF000000}"/>
            </a:ext>
          </a:extLst>
        </xdr:cNvPr>
        <xdr:cNvCxnSpPr/>
      </xdr:nvCxnSpPr>
      <xdr:spPr>
        <a:xfrm flipH="1">
          <a:off x="11906250" y="135140700"/>
          <a:ext cx="2552707"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314325</xdr:colOff>
      <xdr:row>16</xdr:row>
      <xdr:rowOff>9525</xdr:rowOff>
    </xdr:from>
    <xdr:ext cx="2181225" cy="264560"/>
    <xdr:sp macro="" textlink="$AC$17">
      <xdr:nvSpPr>
        <xdr:cNvPr id="240" name="TOC_SECTION_LINK">
          <a:hlinkClick xmlns:r="http://schemas.openxmlformats.org/officeDocument/2006/relationships" r:id="rId22"/>
          <a:extLst>
            <a:ext uri="{FF2B5EF4-FFF2-40B4-BE49-F238E27FC236}">
              <a16:creationId xmlns:a16="http://schemas.microsoft.com/office/drawing/2014/main" id="{00000000-0008-0000-0200-0000F0000000}"/>
            </a:ext>
          </a:extLst>
        </xdr:cNvPr>
        <xdr:cNvSpPr txBox="1"/>
      </xdr:nvSpPr>
      <xdr:spPr>
        <a:xfrm>
          <a:off x="12182475" y="3171825"/>
          <a:ext cx="2181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997AE93A-F750-4E22-859E-B48D2D1B4498}" type="TxLink">
            <a:rPr lang="en-US" sz="900" b="1" i="0" u="sng" strike="noStrike">
              <a:solidFill>
                <a:srgbClr val="366092"/>
              </a:solidFill>
              <a:latin typeface="Arial"/>
              <a:cs typeface="Arial"/>
            </a:rPr>
            <a:pPr algn="l"/>
            <a:t>Homeless Housing</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twoCellAnchor>
    <xdr:from>
      <xdr:col>7</xdr:col>
      <xdr:colOff>66675</xdr:colOff>
      <xdr:row>539</xdr:row>
      <xdr:rowOff>247647</xdr:rowOff>
    </xdr:from>
    <xdr:to>
      <xdr:col>24</xdr:col>
      <xdr:colOff>114300</xdr:colOff>
      <xdr:row>548</xdr:row>
      <xdr:rowOff>76198</xdr:rowOff>
    </xdr:to>
    <xdr:grpSp>
      <xdr:nvGrpSpPr>
        <xdr:cNvPr id="128" name="Group 127">
          <a:extLst>
            <a:ext uri="{FF2B5EF4-FFF2-40B4-BE49-F238E27FC236}">
              <a16:creationId xmlns:a16="http://schemas.microsoft.com/office/drawing/2014/main" id="{00000000-0008-0000-0200-000080000000}"/>
            </a:ext>
          </a:extLst>
        </xdr:cNvPr>
        <xdr:cNvGrpSpPr/>
      </xdr:nvGrpSpPr>
      <xdr:grpSpPr>
        <a:xfrm>
          <a:off x="66675" y="165344472"/>
          <a:ext cx="7372350" cy="2314576"/>
          <a:chOff x="8191500" y="176393472"/>
          <a:chExt cx="7372350" cy="2314576"/>
        </a:xfrm>
      </xdr:grpSpPr>
      <xdr:grpSp>
        <xdr:nvGrpSpPr>
          <xdr:cNvPr id="16" name="SECTION_GROUP">
            <a:extLst>
              <a:ext uri="{FF2B5EF4-FFF2-40B4-BE49-F238E27FC236}">
                <a16:creationId xmlns:a16="http://schemas.microsoft.com/office/drawing/2014/main" id="{00000000-0008-0000-0200-000010000000}"/>
              </a:ext>
            </a:extLst>
          </xdr:cNvPr>
          <xdr:cNvGrpSpPr/>
        </xdr:nvGrpSpPr>
        <xdr:grpSpPr>
          <a:xfrm>
            <a:off x="8191500" y="176393472"/>
            <a:ext cx="7362824" cy="2314576"/>
            <a:chOff x="9363075" y="17306808"/>
            <a:chExt cx="7362825" cy="2491466"/>
          </a:xfrm>
        </xdr:grpSpPr>
        <xdr:sp macro="" textlink="$B$428">
          <xdr:nvSpPr>
            <xdr:cNvPr id="17" name="SECTION_GROUP_TITLE">
              <a:extLst>
                <a:ext uri="{FF2B5EF4-FFF2-40B4-BE49-F238E27FC236}">
                  <a16:creationId xmlns:a16="http://schemas.microsoft.com/office/drawing/2014/main" id="{00000000-0008-0000-0200-000011000000}"/>
                </a:ext>
              </a:extLst>
            </xdr:cNvPr>
            <xdr:cNvSpPr/>
          </xdr:nvSpPr>
          <xdr:spPr>
            <a:xfrm>
              <a:off x="9363075" y="17306808"/>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CDB5CB33-EB2C-485C-A7EE-702D27DA6629}" type="TxLink">
                <a:rPr lang="en-US" sz="1000" b="1" i="0" u="none" strike="noStrike">
                  <a:solidFill>
                    <a:srgbClr val="FFFFFF"/>
                  </a:solidFill>
                  <a:latin typeface="Arial" pitchFamily="34" charset="0"/>
                  <a:cs typeface="Arial" pitchFamily="34" charset="0"/>
                </a:rPr>
                <a:pPr algn="l"/>
                <a:t>Housing in Rural Areas (Maximum Points: 5)</a:t>
              </a:fld>
              <a:endParaRPr lang="en-US" sz="1000" b="1" i="0" u="none" strike="noStrike">
                <a:solidFill>
                  <a:schemeClr val="bg1"/>
                </a:solidFill>
                <a:latin typeface="Arial" pitchFamily="34" charset="0"/>
                <a:cs typeface="Arial" pitchFamily="34" charset="0"/>
              </a:endParaRPr>
            </a:p>
          </xdr:txBody>
        </xdr:sp>
        <xdr:sp macro="" textlink="">
          <xdr:nvSpPr>
            <xdr:cNvPr id="18" name="SECTION_GROUP_FRAME">
              <a:extLst>
                <a:ext uri="{FF2B5EF4-FFF2-40B4-BE49-F238E27FC236}">
                  <a16:creationId xmlns:a16="http://schemas.microsoft.com/office/drawing/2014/main" id="{00000000-0008-0000-0200-000012000000}"/>
                </a:ext>
              </a:extLst>
            </xdr:cNvPr>
            <xdr:cNvSpPr/>
          </xdr:nvSpPr>
          <xdr:spPr>
            <a:xfrm>
              <a:off x="9363075" y="17641464"/>
              <a:ext cx="7362825" cy="2156810"/>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436">
          <xdr:nvSpPr>
            <xdr:cNvPr id="19" name="SECTION_GROUP_SUBTITLE">
              <a:extLst>
                <a:ext uri="{FF2B5EF4-FFF2-40B4-BE49-F238E27FC236}">
                  <a16:creationId xmlns:a16="http://schemas.microsoft.com/office/drawing/2014/main" id="{00000000-0008-0000-0200-00001300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ADFD8E92-9B89-427C-BB06-6170B64BD321}" type="TxLink">
                <a:rPr lang="en-US" sz="800" b="0" i="0" u="none" strike="noStrike">
                  <a:solidFill>
                    <a:srgbClr val="000000"/>
                  </a:solidFill>
                  <a:latin typeface="Arial" pitchFamily="34" charset="0"/>
                  <a:cs typeface="Arial" pitchFamily="34" charset="0"/>
                </a:rPr>
                <a:pPr algn="r"/>
                <a:t>Not Started</a:t>
              </a:fld>
              <a:endParaRPr lang="en-US" sz="1050" b="0" i="0">
                <a:latin typeface="Arial" pitchFamily="34" charset="0"/>
                <a:cs typeface="Arial" pitchFamily="34" charset="0"/>
              </a:endParaRPr>
            </a:p>
          </xdr:txBody>
        </xdr:sp>
        <xdr:sp macro="" textlink="">
          <xdr:nvSpPr>
            <xdr:cNvPr id="20" name="SECTION_GROUP_SUBTITLE_LABEL">
              <a:extLst>
                <a:ext uri="{FF2B5EF4-FFF2-40B4-BE49-F238E27FC236}">
                  <a16:creationId xmlns:a16="http://schemas.microsoft.com/office/drawing/2014/main" id="{00000000-0008-0000-0200-000014000000}"/>
                </a:ext>
              </a:extLst>
            </xdr:cNvPr>
            <xdr:cNvSpPr txBox="1"/>
          </xdr:nvSpPr>
          <xdr:spPr>
            <a:xfrm>
              <a:off x="15649576"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sp macro="" textlink="">
        <xdr:nvSpPr>
          <xdr:cNvPr id="242" name="LINK_RENTAL_TOC">
            <a:hlinkClick xmlns:r="http://schemas.openxmlformats.org/officeDocument/2006/relationships" r:id="rId18"/>
            <a:extLst>
              <a:ext uri="{FF2B5EF4-FFF2-40B4-BE49-F238E27FC236}">
                <a16:creationId xmlns:a16="http://schemas.microsoft.com/office/drawing/2014/main" id="{00000000-0008-0000-0200-0000F2000000}"/>
              </a:ext>
            </a:extLst>
          </xdr:cNvPr>
          <xdr:cNvSpPr/>
        </xdr:nvSpPr>
        <xdr:spPr>
          <a:xfrm>
            <a:off x="14535150" y="17639347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grpSp>
    <xdr:clientData fPrintsWithSheet="0"/>
  </xdr:twoCellAnchor>
  <xdr:twoCellAnchor>
    <xdr:from>
      <xdr:col>7</xdr:col>
      <xdr:colOff>66675</xdr:colOff>
      <xdr:row>479</xdr:row>
      <xdr:rowOff>247648</xdr:rowOff>
    </xdr:from>
    <xdr:to>
      <xdr:col>24</xdr:col>
      <xdr:colOff>114300</xdr:colOff>
      <xdr:row>494</xdr:row>
      <xdr:rowOff>85723</xdr:rowOff>
    </xdr:to>
    <xdr:grpSp>
      <xdr:nvGrpSpPr>
        <xdr:cNvPr id="57" name="Group 56">
          <a:extLst>
            <a:ext uri="{FF2B5EF4-FFF2-40B4-BE49-F238E27FC236}">
              <a16:creationId xmlns:a16="http://schemas.microsoft.com/office/drawing/2014/main" id="{00000000-0008-0000-0200-000039000000}"/>
            </a:ext>
          </a:extLst>
        </xdr:cNvPr>
        <xdr:cNvGrpSpPr/>
      </xdr:nvGrpSpPr>
      <xdr:grpSpPr>
        <a:xfrm>
          <a:off x="66675" y="141760573"/>
          <a:ext cx="7372350" cy="3981450"/>
          <a:chOff x="8191500" y="178879500"/>
          <a:chExt cx="7372350" cy="4049425"/>
        </a:xfrm>
      </xdr:grpSpPr>
      <xdr:grpSp>
        <xdr:nvGrpSpPr>
          <xdr:cNvPr id="264" name="SECTION_GROUP">
            <a:extLst>
              <a:ext uri="{FF2B5EF4-FFF2-40B4-BE49-F238E27FC236}">
                <a16:creationId xmlns:a16="http://schemas.microsoft.com/office/drawing/2014/main" id="{00000000-0008-0000-0200-000008010000}"/>
              </a:ext>
            </a:extLst>
          </xdr:cNvPr>
          <xdr:cNvGrpSpPr/>
        </xdr:nvGrpSpPr>
        <xdr:grpSpPr>
          <a:xfrm>
            <a:off x="8191500" y="178879500"/>
            <a:ext cx="7362824" cy="4049425"/>
            <a:chOff x="9363075" y="17306808"/>
            <a:chExt cx="7362825" cy="4358900"/>
          </a:xfrm>
        </xdr:grpSpPr>
        <xdr:sp macro="" textlink="$B$445">
          <xdr:nvSpPr>
            <xdr:cNvPr id="265" name="SECTION_GROUP_TITLE">
              <a:extLst>
                <a:ext uri="{FF2B5EF4-FFF2-40B4-BE49-F238E27FC236}">
                  <a16:creationId xmlns:a16="http://schemas.microsoft.com/office/drawing/2014/main" id="{00000000-0008-0000-0200-000009010000}"/>
                </a:ext>
              </a:extLst>
            </xdr:cNvPr>
            <xdr:cNvSpPr/>
          </xdr:nvSpPr>
          <xdr:spPr>
            <a:xfrm>
              <a:off x="9363075" y="17306808"/>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92392A1D-DD0D-4ED3-91BE-F48D0D0FB813}" type="TxLink">
                <a:rPr lang="en-US" sz="1000" b="1" i="0" u="none" strike="noStrike">
                  <a:solidFill>
                    <a:srgbClr val="FFFFFF"/>
                  </a:solidFill>
                  <a:latin typeface="Arial" pitchFamily="34" charset="0"/>
                  <a:cs typeface="Arial" pitchFamily="34" charset="0"/>
                </a:rPr>
                <a:pPr algn="l"/>
                <a:t>Home Purchase by Low- or Moderate-Income Household (Maximum Points: 6)</a:t>
              </a:fld>
              <a:endParaRPr lang="en-US" sz="1000" b="1" i="0" u="none" strike="noStrike">
                <a:solidFill>
                  <a:schemeClr val="bg1"/>
                </a:solidFill>
                <a:latin typeface="Arial" pitchFamily="34" charset="0"/>
                <a:cs typeface="Arial" pitchFamily="34" charset="0"/>
              </a:endParaRPr>
            </a:p>
          </xdr:txBody>
        </xdr:sp>
        <xdr:sp macro="" textlink="">
          <xdr:nvSpPr>
            <xdr:cNvPr id="266" name="SECTION_GROUP_FRAME">
              <a:extLst>
                <a:ext uri="{FF2B5EF4-FFF2-40B4-BE49-F238E27FC236}">
                  <a16:creationId xmlns:a16="http://schemas.microsoft.com/office/drawing/2014/main" id="{00000000-0008-0000-0200-00000A010000}"/>
                </a:ext>
              </a:extLst>
            </xdr:cNvPr>
            <xdr:cNvSpPr/>
          </xdr:nvSpPr>
          <xdr:spPr>
            <a:xfrm>
              <a:off x="9363075" y="17641463"/>
              <a:ext cx="7362825" cy="4024245"/>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452">
          <xdr:nvSpPr>
            <xdr:cNvPr id="267" name="SECTION_GROUP_SUBTITLE">
              <a:extLst>
                <a:ext uri="{FF2B5EF4-FFF2-40B4-BE49-F238E27FC236}">
                  <a16:creationId xmlns:a16="http://schemas.microsoft.com/office/drawing/2014/main" id="{00000000-0008-0000-0200-00000B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04BD8FA4-ECF7-4924-808A-46375F4ACA85}" type="TxLink">
                <a:rPr lang="en-US" sz="800" b="0" i="0" u="none" strike="noStrike">
                  <a:solidFill>
                    <a:srgbClr val="000000"/>
                  </a:solidFill>
                  <a:latin typeface="Arial" pitchFamily="34" charset="0"/>
                  <a:cs typeface="Arial" pitchFamily="34" charset="0"/>
                </a:rPr>
                <a:pPr algn="r"/>
                <a:t>Optional</a:t>
              </a:fld>
              <a:endParaRPr lang="en-US" sz="1050" b="0" i="0">
                <a:latin typeface="Arial" pitchFamily="34" charset="0"/>
                <a:cs typeface="Arial" pitchFamily="34" charset="0"/>
              </a:endParaRPr>
            </a:p>
          </xdr:txBody>
        </xdr:sp>
        <xdr:sp macro="" textlink="">
          <xdr:nvSpPr>
            <xdr:cNvPr id="268" name="SECTION_GROUP_SUBTITLE_LABEL">
              <a:extLst>
                <a:ext uri="{FF2B5EF4-FFF2-40B4-BE49-F238E27FC236}">
                  <a16:creationId xmlns:a16="http://schemas.microsoft.com/office/drawing/2014/main" id="{00000000-0008-0000-0200-00000C010000}"/>
                </a:ext>
              </a:extLst>
            </xdr:cNvPr>
            <xdr:cNvSpPr txBox="1"/>
          </xdr:nvSpPr>
          <xdr:spPr>
            <a:xfrm>
              <a:off x="15649576"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sp macro="" textlink="">
        <xdr:nvSpPr>
          <xdr:cNvPr id="243" name="LINK_RENTAL_TOC">
            <a:hlinkClick xmlns:r="http://schemas.openxmlformats.org/officeDocument/2006/relationships" r:id="rId18"/>
            <a:extLst>
              <a:ext uri="{FF2B5EF4-FFF2-40B4-BE49-F238E27FC236}">
                <a16:creationId xmlns:a16="http://schemas.microsoft.com/office/drawing/2014/main" id="{00000000-0008-0000-0200-0000F3000000}"/>
              </a:ext>
            </a:extLst>
          </xdr:cNvPr>
          <xdr:cNvSpPr/>
        </xdr:nvSpPr>
        <xdr:spPr>
          <a:xfrm>
            <a:off x="14535150" y="178879500"/>
            <a:ext cx="1028700" cy="30613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grpSp>
    <xdr:clientData fPrintsWithSheet="0"/>
  </xdr:twoCellAnchor>
  <xdr:twoCellAnchor>
    <xdr:from>
      <xdr:col>20</xdr:col>
      <xdr:colOff>685800</xdr:colOff>
      <xdr:row>768</xdr:row>
      <xdr:rowOff>190500</xdr:rowOff>
    </xdr:from>
    <xdr:to>
      <xdr:col>21</xdr:col>
      <xdr:colOff>104775</xdr:colOff>
      <xdr:row>768</xdr:row>
      <xdr:rowOff>190500</xdr:rowOff>
    </xdr:to>
    <xdr:cxnSp macro="">
      <xdr:nvCxnSpPr>
        <xdr:cNvPr id="244" name="DOTTED_LINE">
          <a:extLst>
            <a:ext uri="{FF2B5EF4-FFF2-40B4-BE49-F238E27FC236}">
              <a16:creationId xmlns:a16="http://schemas.microsoft.com/office/drawing/2014/main" id="{00000000-0008-0000-0200-0000F4000000}"/>
            </a:ext>
          </a:extLst>
        </xdr:cNvPr>
        <xdr:cNvCxnSpPr/>
      </xdr:nvCxnSpPr>
      <xdr:spPr>
        <a:xfrm flipH="1">
          <a:off x="14344650" y="152580975"/>
          <a:ext cx="1333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57150</xdr:colOff>
      <xdr:row>770</xdr:row>
      <xdr:rowOff>85725</xdr:rowOff>
    </xdr:from>
    <xdr:to>
      <xdr:col>8</xdr:col>
      <xdr:colOff>148590</xdr:colOff>
      <xdr:row>770</xdr:row>
      <xdr:rowOff>177165</xdr:rowOff>
    </xdr:to>
    <xdr:sp macro="" textlink="">
      <xdr:nvSpPr>
        <xdr:cNvPr id="245" name="RT_ARROW_2">
          <a:extLst>
            <a:ext uri="{FF2B5EF4-FFF2-40B4-BE49-F238E27FC236}">
              <a16:creationId xmlns:a16="http://schemas.microsoft.com/office/drawing/2014/main" id="{00000000-0008-0000-0200-0000F5000000}"/>
            </a:ext>
          </a:extLst>
        </xdr:cNvPr>
        <xdr:cNvSpPr/>
      </xdr:nvSpPr>
      <xdr:spPr>
        <a:xfrm>
          <a:off x="8343900" y="152409525"/>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20</xdr:col>
      <xdr:colOff>647700</xdr:colOff>
      <xdr:row>785</xdr:row>
      <xdr:rowOff>190500</xdr:rowOff>
    </xdr:from>
    <xdr:to>
      <xdr:col>21</xdr:col>
      <xdr:colOff>104775</xdr:colOff>
      <xdr:row>785</xdr:row>
      <xdr:rowOff>190500</xdr:rowOff>
    </xdr:to>
    <xdr:cxnSp macro="">
      <xdr:nvCxnSpPr>
        <xdr:cNvPr id="248" name="DOTTED_LINE">
          <a:extLst>
            <a:ext uri="{FF2B5EF4-FFF2-40B4-BE49-F238E27FC236}">
              <a16:creationId xmlns:a16="http://schemas.microsoft.com/office/drawing/2014/main" id="{00000000-0008-0000-0200-0000F8000000}"/>
            </a:ext>
          </a:extLst>
        </xdr:cNvPr>
        <xdr:cNvCxnSpPr/>
      </xdr:nvCxnSpPr>
      <xdr:spPr>
        <a:xfrm flipH="1">
          <a:off x="14306550" y="157000575"/>
          <a:ext cx="1714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257175</xdr:colOff>
      <xdr:row>794</xdr:row>
      <xdr:rowOff>142875</xdr:rowOff>
    </xdr:from>
    <xdr:to>
      <xdr:col>21</xdr:col>
      <xdr:colOff>123825</xdr:colOff>
      <xdr:row>794</xdr:row>
      <xdr:rowOff>142875</xdr:rowOff>
    </xdr:to>
    <xdr:cxnSp macro="">
      <xdr:nvCxnSpPr>
        <xdr:cNvPr id="254" name="DOTTED_LINE">
          <a:extLst>
            <a:ext uri="{FF2B5EF4-FFF2-40B4-BE49-F238E27FC236}">
              <a16:creationId xmlns:a16="http://schemas.microsoft.com/office/drawing/2014/main" id="{00000000-0008-0000-0200-0000FE000000}"/>
            </a:ext>
          </a:extLst>
        </xdr:cNvPr>
        <xdr:cNvCxnSpPr/>
      </xdr:nvCxnSpPr>
      <xdr:spPr>
        <a:xfrm>
          <a:off x="13020675" y="162477450"/>
          <a:ext cx="14763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238125</xdr:colOff>
      <xdr:row>796</xdr:row>
      <xdr:rowOff>133350</xdr:rowOff>
    </xdr:from>
    <xdr:to>
      <xdr:col>19</xdr:col>
      <xdr:colOff>114300</xdr:colOff>
      <xdr:row>796</xdr:row>
      <xdr:rowOff>133350</xdr:rowOff>
    </xdr:to>
    <xdr:cxnSp macro="">
      <xdr:nvCxnSpPr>
        <xdr:cNvPr id="255" name="DOTTED_LINE">
          <a:extLst>
            <a:ext uri="{FF2B5EF4-FFF2-40B4-BE49-F238E27FC236}">
              <a16:creationId xmlns:a16="http://schemas.microsoft.com/office/drawing/2014/main" id="{00000000-0008-0000-0200-0000FF000000}"/>
            </a:ext>
          </a:extLst>
        </xdr:cNvPr>
        <xdr:cNvCxnSpPr/>
      </xdr:nvCxnSpPr>
      <xdr:spPr>
        <a:xfrm>
          <a:off x="13001625" y="163020375"/>
          <a:ext cx="5905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476250</xdr:colOff>
      <xdr:row>799</xdr:row>
      <xdr:rowOff>142875</xdr:rowOff>
    </xdr:from>
    <xdr:to>
      <xdr:col>21</xdr:col>
      <xdr:colOff>123825</xdr:colOff>
      <xdr:row>799</xdr:row>
      <xdr:rowOff>142875</xdr:rowOff>
    </xdr:to>
    <xdr:cxnSp macro="">
      <xdr:nvCxnSpPr>
        <xdr:cNvPr id="256" name="DOTTED_LINE">
          <a:extLst>
            <a:ext uri="{FF2B5EF4-FFF2-40B4-BE49-F238E27FC236}">
              <a16:creationId xmlns:a16="http://schemas.microsoft.com/office/drawing/2014/main" id="{00000000-0008-0000-0200-000000010000}"/>
            </a:ext>
          </a:extLst>
        </xdr:cNvPr>
        <xdr:cNvCxnSpPr/>
      </xdr:nvCxnSpPr>
      <xdr:spPr>
        <a:xfrm>
          <a:off x="12344400" y="163858575"/>
          <a:ext cx="21526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333375</xdr:colOff>
      <xdr:row>801</xdr:row>
      <xdr:rowOff>133350</xdr:rowOff>
    </xdr:from>
    <xdr:to>
      <xdr:col>19</xdr:col>
      <xdr:colOff>114300</xdr:colOff>
      <xdr:row>801</xdr:row>
      <xdr:rowOff>133350</xdr:rowOff>
    </xdr:to>
    <xdr:cxnSp macro="">
      <xdr:nvCxnSpPr>
        <xdr:cNvPr id="257" name="DOTTED_LINE">
          <a:extLst>
            <a:ext uri="{FF2B5EF4-FFF2-40B4-BE49-F238E27FC236}">
              <a16:creationId xmlns:a16="http://schemas.microsoft.com/office/drawing/2014/main" id="{00000000-0008-0000-0200-000001010000}"/>
            </a:ext>
          </a:extLst>
        </xdr:cNvPr>
        <xdr:cNvCxnSpPr/>
      </xdr:nvCxnSpPr>
      <xdr:spPr>
        <a:xfrm>
          <a:off x="13096875" y="164401500"/>
          <a:ext cx="4953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66675</xdr:colOff>
      <xdr:row>603</xdr:row>
      <xdr:rowOff>238125</xdr:rowOff>
    </xdr:from>
    <xdr:to>
      <xdr:col>24</xdr:col>
      <xdr:colOff>114300</xdr:colOff>
      <xdr:row>746</xdr:row>
      <xdr:rowOff>104775</xdr:rowOff>
    </xdr:to>
    <xdr:grpSp>
      <xdr:nvGrpSpPr>
        <xdr:cNvPr id="187" name="Group 186">
          <a:extLst>
            <a:ext uri="{FF2B5EF4-FFF2-40B4-BE49-F238E27FC236}">
              <a16:creationId xmlns:a16="http://schemas.microsoft.com/office/drawing/2014/main" id="{00000000-0008-0000-0200-0000BB000000}"/>
            </a:ext>
          </a:extLst>
        </xdr:cNvPr>
        <xdr:cNvGrpSpPr/>
      </xdr:nvGrpSpPr>
      <xdr:grpSpPr>
        <a:xfrm>
          <a:off x="66675" y="183013350"/>
          <a:ext cx="7372350" cy="39366825"/>
          <a:chOff x="8191500" y="204282675"/>
          <a:chExt cx="7372350" cy="39366825"/>
        </a:xfrm>
      </xdr:grpSpPr>
      <xdr:grpSp>
        <xdr:nvGrpSpPr>
          <xdr:cNvPr id="3" name="SECTION_GROUP">
            <a:extLst>
              <a:ext uri="{FF2B5EF4-FFF2-40B4-BE49-F238E27FC236}">
                <a16:creationId xmlns:a16="http://schemas.microsoft.com/office/drawing/2014/main" id="{00000000-0008-0000-0200-000003000000}"/>
              </a:ext>
            </a:extLst>
          </xdr:cNvPr>
          <xdr:cNvGrpSpPr/>
        </xdr:nvGrpSpPr>
        <xdr:grpSpPr>
          <a:xfrm>
            <a:off x="8191500" y="204282675"/>
            <a:ext cx="7362824" cy="39366825"/>
            <a:chOff x="9363075" y="17306808"/>
            <a:chExt cx="7362825" cy="42375409"/>
          </a:xfrm>
        </xdr:grpSpPr>
        <xdr:sp macro="" textlink="$B$520">
          <xdr:nvSpPr>
            <xdr:cNvPr id="4" name="SECTION_GROUP_TITLE">
              <a:extLst>
                <a:ext uri="{FF2B5EF4-FFF2-40B4-BE49-F238E27FC236}">
                  <a16:creationId xmlns:a16="http://schemas.microsoft.com/office/drawing/2014/main" id="{00000000-0008-0000-0200-000004000000}"/>
                </a:ext>
              </a:extLst>
            </xdr:cNvPr>
            <xdr:cNvSpPr/>
          </xdr:nvSpPr>
          <xdr:spPr>
            <a:xfrm>
              <a:off x="9363075" y="17306808"/>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A3638D5B-02AE-41A0-8A4D-A309A88D7B20}" type="TxLink">
                <a:rPr lang="en-US" sz="1000" b="1" i="0" u="none" strike="noStrike">
                  <a:solidFill>
                    <a:srgbClr val="FFFFFF"/>
                  </a:solidFill>
                  <a:latin typeface="Arial" pitchFamily="34" charset="0"/>
                  <a:cs typeface="Arial" pitchFamily="34" charset="0"/>
                </a:rPr>
                <a:pPr algn="l"/>
                <a:t>Community Stability, Including Affordable Housing Preservation (Maximum Points: 14)</a:t>
              </a:fld>
              <a:endParaRPr lang="en-US" sz="1000" b="1" i="0" u="none" strike="noStrike">
                <a:solidFill>
                  <a:schemeClr val="bg1"/>
                </a:solidFill>
                <a:latin typeface="Arial" pitchFamily="34" charset="0"/>
                <a:cs typeface="Arial" pitchFamily="34" charset="0"/>
              </a:endParaRPr>
            </a:p>
          </xdr:txBody>
        </xdr:sp>
        <xdr:sp macro="" textlink="">
          <xdr:nvSpPr>
            <xdr:cNvPr id="5" name="SECTION_GROUP_FRAME">
              <a:extLst>
                <a:ext uri="{FF2B5EF4-FFF2-40B4-BE49-F238E27FC236}">
                  <a16:creationId xmlns:a16="http://schemas.microsoft.com/office/drawing/2014/main" id="{00000000-0008-0000-0200-000005000000}"/>
                </a:ext>
              </a:extLst>
            </xdr:cNvPr>
            <xdr:cNvSpPr/>
          </xdr:nvSpPr>
          <xdr:spPr>
            <a:xfrm>
              <a:off x="9363075" y="17641463"/>
              <a:ext cx="7362825" cy="42040754"/>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539">
          <xdr:nvSpPr>
            <xdr:cNvPr id="6" name="SECTION_GROUP_SUBTITLE">
              <a:extLst>
                <a:ext uri="{FF2B5EF4-FFF2-40B4-BE49-F238E27FC236}">
                  <a16:creationId xmlns:a16="http://schemas.microsoft.com/office/drawing/2014/main" id="{00000000-0008-0000-0200-00000600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41290DAE-1D4A-46FD-B350-48AA6CAFA00B}" type="TxLink">
                <a:rPr lang="en-US" sz="800" b="0" i="0" u="none" strike="noStrike">
                  <a:solidFill>
                    <a:srgbClr val="000000"/>
                  </a:solidFill>
                  <a:latin typeface="Arial" pitchFamily="34" charset="0"/>
                  <a:cs typeface="Arial" pitchFamily="34" charset="0"/>
                </a:rPr>
                <a:pPr algn="r"/>
                <a:t>Not Started</a:t>
              </a:fld>
              <a:endParaRPr lang="en-US" sz="1050" b="0" i="0">
                <a:latin typeface="Arial" pitchFamily="34" charset="0"/>
                <a:cs typeface="Arial" pitchFamily="34" charset="0"/>
              </a:endParaRPr>
            </a:p>
          </xdr:txBody>
        </xdr:sp>
        <xdr:sp macro="" textlink="">
          <xdr:nvSpPr>
            <xdr:cNvPr id="7" name="SECTION_GROUP_SUBTITLE_LABEL">
              <a:extLst>
                <a:ext uri="{FF2B5EF4-FFF2-40B4-BE49-F238E27FC236}">
                  <a16:creationId xmlns:a16="http://schemas.microsoft.com/office/drawing/2014/main" id="{00000000-0008-0000-0200-000007000000}"/>
                </a:ext>
              </a:extLst>
            </xdr:cNvPr>
            <xdr:cNvSpPr txBox="1"/>
          </xdr:nvSpPr>
          <xdr:spPr>
            <a:xfrm>
              <a:off x="15640051"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sp macro="" textlink="">
        <xdr:nvSpPr>
          <xdr:cNvPr id="261" name="LINK_RENTAL_TOC">
            <a:hlinkClick xmlns:r="http://schemas.openxmlformats.org/officeDocument/2006/relationships" r:id="rId18"/>
            <a:extLst>
              <a:ext uri="{FF2B5EF4-FFF2-40B4-BE49-F238E27FC236}">
                <a16:creationId xmlns:a16="http://schemas.microsoft.com/office/drawing/2014/main" id="{00000000-0008-0000-0200-000005010000}"/>
              </a:ext>
            </a:extLst>
          </xdr:cNvPr>
          <xdr:cNvSpPr/>
        </xdr:nvSpPr>
        <xdr:spPr>
          <a:xfrm>
            <a:off x="14535150" y="204282675"/>
            <a:ext cx="1028700" cy="30613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grpSp>
    <xdr:clientData fPrintsWithSheet="0"/>
  </xdr:twoCellAnchor>
  <xdr:twoCellAnchor>
    <xdr:from>
      <xdr:col>17</xdr:col>
      <xdr:colOff>114300</xdr:colOff>
      <xdr:row>651</xdr:row>
      <xdr:rowOff>142875</xdr:rowOff>
    </xdr:from>
    <xdr:to>
      <xdr:col>21</xdr:col>
      <xdr:colOff>123825</xdr:colOff>
      <xdr:row>651</xdr:row>
      <xdr:rowOff>142875</xdr:rowOff>
    </xdr:to>
    <xdr:cxnSp macro="">
      <xdr:nvCxnSpPr>
        <xdr:cNvPr id="262" name="DOTTED_LINE">
          <a:extLst>
            <a:ext uri="{FF2B5EF4-FFF2-40B4-BE49-F238E27FC236}">
              <a16:creationId xmlns:a16="http://schemas.microsoft.com/office/drawing/2014/main" id="{00000000-0008-0000-0200-000006010000}"/>
            </a:ext>
          </a:extLst>
        </xdr:cNvPr>
        <xdr:cNvCxnSpPr/>
      </xdr:nvCxnSpPr>
      <xdr:spPr>
        <a:xfrm>
          <a:off x="12696825" y="203292075"/>
          <a:ext cx="18002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114300</xdr:colOff>
      <xdr:row>666</xdr:row>
      <xdr:rowOff>142875</xdr:rowOff>
    </xdr:from>
    <xdr:to>
      <xdr:col>21</xdr:col>
      <xdr:colOff>123825</xdr:colOff>
      <xdr:row>666</xdr:row>
      <xdr:rowOff>142875</xdr:rowOff>
    </xdr:to>
    <xdr:cxnSp macro="">
      <xdr:nvCxnSpPr>
        <xdr:cNvPr id="263" name="DOTTED_LINE">
          <a:extLst>
            <a:ext uri="{FF2B5EF4-FFF2-40B4-BE49-F238E27FC236}">
              <a16:creationId xmlns:a16="http://schemas.microsoft.com/office/drawing/2014/main" id="{00000000-0008-0000-0200-000007010000}"/>
            </a:ext>
          </a:extLst>
        </xdr:cNvPr>
        <xdr:cNvCxnSpPr/>
      </xdr:nvCxnSpPr>
      <xdr:spPr>
        <a:xfrm>
          <a:off x="12696825" y="206883000"/>
          <a:ext cx="18002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21</xdr:col>
      <xdr:colOff>152400</xdr:colOff>
      <xdr:row>747</xdr:row>
      <xdr:rowOff>0</xdr:rowOff>
    </xdr:from>
    <xdr:to>
      <xdr:col>24</xdr:col>
      <xdr:colOff>104775</xdr:colOff>
      <xdr:row>748</xdr:row>
      <xdr:rowOff>28575</xdr:rowOff>
    </xdr:to>
    <xdr:sp macro="" textlink="">
      <xdr:nvSpPr>
        <xdr:cNvPr id="269" name="LINK_RENTAL_TOC">
          <a:hlinkClick xmlns:r="http://schemas.openxmlformats.org/officeDocument/2006/relationships" r:id="rId18"/>
          <a:extLst>
            <a:ext uri="{FF2B5EF4-FFF2-40B4-BE49-F238E27FC236}">
              <a16:creationId xmlns:a16="http://schemas.microsoft.com/office/drawing/2014/main" id="{00000000-0008-0000-0200-00000D010000}"/>
            </a:ext>
          </a:extLst>
        </xdr:cNvPr>
        <xdr:cNvSpPr/>
      </xdr:nvSpPr>
      <xdr:spPr>
        <a:xfrm>
          <a:off x="14525625" y="16426815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xdr:from>
      <xdr:col>14</xdr:col>
      <xdr:colOff>581025</xdr:colOff>
      <xdr:row>492</xdr:row>
      <xdr:rowOff>142875</xdr:rowOff>
    </xdr:from>
    <xdr:to>
      <xdr:col>19</xdr:col>
      <xdr:colOff>104775</xdr:colOff>
      <xdr:row>492</xdr:row>
      <xdr:rowOff>142875</xdr:rowOff>
    </xdr:to>
    <xdr:cxnSp macro="">
      <xdr:nvCxnSpPr>
        <xdr:cNvPr id="270" name="DOTTED_LINE">
          <a:extLst>
            <a:ext uri="{FF2B5EF4-FFF2-40B4-BE49-F238E27FC236}">
              <a16:creationId xmlns:a16="http://schemas.microsoft.com/office/drawing/2014/main" id="{00000000-0008-0000-0200-00000E010000}"/>
            </a:ext>
          </a:extLst>
        </xdr:cNvPr>
        <xdr:cNvCxnSpPr/>
      </xdr:nvCxnSpPr>
      <xdr:spPr>
        <a:xfrm>
          <a:off x="11553825" y="167935275"/>
          <a:ext cx="20288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152400</xdr:colOff>
      <xdr:row>112</xdr:row>
      <xdr:rowOff>152400</xdr:rowOff>
    </xdr:from>
    <xdr:to>
      <xdr:col>21</xdr:col>
      <xdr:colOff>133350</xdr:colOff>
      <xdr:row>112</xdr:row>
      <xdr:rowOff>152400</xdr:rowOff>
    </xdr:to>
    <xdr:cxnSp macro="">
      <xdr:nvCxnSpPr>
        <xdr:cNvPr id="274" name="DOTTED_LINE">
          <a:extLst>
            <a:ext uri="{FF2B5EF4-FFF2-40B4-BE49-F238E27FC236}">
              <a16:creationId xmlns:a16="http://schemas.microsoft.com/office/drawing/2014/main" id="{00000000-0008-0000-0200-000012010000}"/>
            </a:ext>
          </a:extLst>
        </xdr:cNvPr>
        <xdr:cNvCxnSpPr/>
      </xdr:nvCxnSpPr>
      <xdr:spPr>
        <a:xfrm>
          <a:off x="9334500" y="27965400"/>
          <a:ext cx="51720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114300</xdr:colOff>
      <xdr:row>223</xdr:row>
      <xdr:rowOff>152400</xdr:rowOff>
    </xdr:from>
    <xdr:to>
      <xdr:col>21</xdr:col>
      <xdr:colOff>133350</xdr:colOff>
      <xdr:row>223</xdr:row>
      <xdr:rowOff>152400</xdr:rowOff>
    </xdr:to>
    <xdr:cxnSp macro="">
      <xdr:nvCxnSpPr>
        <xdr:cNvPr id="276" name="DOTTED_LINE">
          <a:extLst>
            <a:ext uri="{FF2B5EF4-FFF2-40B4-BE49-F238E27FC236}">
              <a16:creationId xmlns:a16="http://schemas.microsoft.com/office/drawing/2014/main" id="{00000000-0008-0000-0200-000014010000}"/>
            </a:ext>
          </a:extLst>
        </xdr:cNvPr>
        <xdr:cNvCxnSpPr/>
      </xdr:nvCxnSpPr>
      <xdr:spPr>
        <a:xfrm>
          <a:off x="10191750" y="51168300"/>
          <a:ext cx="43148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470</xdr:row>
      <xdr:rowOff>152400</xdr:rowOff>
    </xdr:from>
    <xdr:to>
      <xdr:col>21</xdr:col>
      <xdr:colOff>85731</xdr:colOff>
      <xdr:row>470</xdr:row>
      <xdr:rowOff>152400</xdr:rowOff>
    </xdr:to>
    <xdr:cxnSp macro="">
      <xdr:nvCxnSpPr>
        <xdr:cNvPr id="282" name="DOTTED_LINE">
          <a:extLst>
            <a:ext uri="{FF2B5EF4-FFF2-40B4-BE49-F238E27FC236}">
              <a16:creationId xmlns:a16="http://schemas.microsoft.com/office/drawing/2014/main" id="{00000000-0008-0000-0200-00001A010000}"/>
            </a:ext>
          </a:extLst>
        </xdr:cNvPr>
        <xdr:cNvCxnSpPr/>
      </xdr:nvCxnSpPr>
      <xdr:spPr>
        <a:xfrm flipH="1">
          <a:off x="9896475" y="129825750"/>
          <a:ext cx="4562481"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471</xdr:row>
      <xdr:rowOff>152400</xdr:rowOff>
    </xdr:from>
    <xdr:to>
      <xdr:col>21</xdr:col>
      <xdr:colOff>85731</xdr:colOff>
      <xdr:row>471</xdr:row>
      <xdr:rowOff>152400</xdr:rowOff>
    </xdr:to>
    <xdr:cxnSp macro="">
      <xdr:nvCxnSpPr>
        <xdr:cNvPr id="283" name="DOTTED_LINE">
          <a:extLst>
            <a:ext uri="{FF2B5EF4-FFF2-40B4-BE49-F238E27FC236}">
              <a16:creationId xmlns:a16="http://schemas.microsoft.com/office/drawing/2014/main" id="{00000000-0008-0000-0200-00001B010000}"/>
            </a:ext>
          </a:extLst>
        </xdr:cNvPr>
        <xdr:cNvCxnSpPr/>
      </xdr:nvCxnSpPr>
      <xdr:spPr>
        <a:xfrm flipH="1">
          <a:off x="9906000" y="130101975"/>
          <a:ext cx="4552956"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9525</xdr:colOff>
      <xdr:row>472</xdr:row>
      <xdr:rowOff>152400</xdr:rowOff>
    </xdr:from>
    <xdr:to>
      <xdr:col>21</xdr:col>
      <xdr:colOff>85731</xdr:colOff>
      <xdr:row>472</xdr:row>
      <xdr:rowOff>152400</xdr:rowOff>
    </xdr:to>
    <xdr:cxnSp macro="">
      <xdr:nvCxnSpPr>
        <xdr:cNvPr id="284" name="DOTTED_LINE">
          <a:extLst>
            <a:ext uri="{FF2B5EF4-FFF2-40B4-BE49-F238E27FC236}">
              <a16:creationId xmlns:a16="http://schemas.microsoft.com/office/drawing/2014/main" id="{00000000-0008-0000-0200-00001C010000}"/>
            </a:ext>
          </a:extLst>
        </xdr:cNvPr>
        <xdr:cNvCxnSpPr/>
      </xdr:nvCxnSpPr>
      <xdr:spPr>
        <a:xfrm flipH="1">
          <a:off x="10086975" y="130378200"/>
          <a:ext cx="4371981"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676275</xdr:colOff>
      <xdr:row>583</xdr:row>
      <xdr:rowOff>152400</xdr:rowOff>
    </xdr:from>
    <xdr:to>
      <xdr:col>21</xdr:col>
      <xdr:colOff>85730</xdr:colOff>
      <xdr:row>583</xdr:row>
      <xdr:rowOff>152400</xdr:rowOff>
    </xdr:to>
    <xdr:cxnSp macro="">
      <xdr:nvCxnSpPr>
        <xdr:cNvPr id="289" name="DOTTED_LINE">
          <a:extLst>
            <a:ext uri="{FF2B5EF4-FFF2-40B4-BE49-F238E27FC236}">
              <a16:creationId xmlns:a16="http://schemas.microsoft.com/office/drawing/2014/main" id="{00000000-0008-0000-0200-000021010000}"/>
            </a:ext>
          </a:extLst>
        </xdr:cNvPr>
        <xdr:cNvCxnSpPr/>
      </xdr:nvCxnSpPr>
      <xdr:spPr>
        <a:xfrm flipH="1">
          <a:off x="10753725" y="130444875"/>
          <a:ext cx="370523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171450</xdr:colOff>
      <xdr:row>752</xdr:row>
      <xdr:rowOff>152400</xdr:rowOff>
    </xdr:from>
    <xdr:to>
      <xdr:col>21</xdr:col>
      <xdr:colOff>133350</xdr:colOff>
      <xdr:row>752</xdr:row>
      <xdr:rowOff>152400</xdr:rowOff>
    </xdr:to>
    <xdr:cxnSp macro="">
      <xdr:nvCxnSpPr>
        <xdr:cNvPr id="292" name="DOTTED_LINE">
          <a:extLst>
            <a:ext uri="{FF2B5EF4-FFF2-40B4-BE49-F238E27FC236}">
              <a16:creationId xmlns:a16="http://schemas.microsoft.com/office/drawing/2014/main" id="{00000000-0008-0000-0200-000024010000}"/>
            </a:ext>
          </a:extLst>
        </xdr:cNvPr>
        <xdr:cNvCxnSpPr/>
      </xdr:nvCxnSpPr>
      <xdr:spPr>
        <a:xfrm>
          <a:off x="12934950" y="148399500"/>
          <a:ext cx="15716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323850</xdr:colOff>
      <xdr:row>808</xdr:row>
      <xdr:rowOff>142875</xdr:rowOff>
    </xdr:from>
    <xdr:to>
      <xdr:col>21</xdr:col>
      <xdr:colOff>123825</xdr:colOff>
      <xdr:row>808</xdr:row>
      <xdr:rowOff>142875</xdr:rowOff>
    </xdr:to>
    <xdr:cxnSp macro="">
      <xdr:nvCxnSpPr>
        <xdr:cNvPr id="294" name="DOTTED_LINE">
          <a:extLst>
            <a:ext uri="{FF2B5EF4-FFF2-40B4-BE49-F238E27FC236}">
              <a16:creationId xmlns:a16="http://schemas.microsoft.com/office/drawing/2014/main" id="{00000000-0008-0000-0200-000026010000}"/>
            </a:ext>
          </a:extLst>
        </xdr:cNvPr>
        <xdr:cNvCxnSpPr/>
      </xdr:nvCxnSpPr>
      <xdr:spPr>
        <a:xfrm>
          <a:off x="13087350" y="166344600"/>
          <a:ext cx="14097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57150</xdr:colOff>
      <xdr:row>241</xdr:row>
      <xdr:rowOff>95250</xdr:rowOff>
    </xdr:from>
    <xdr:to>
      <xdr:col>8</xdr:col>
      <xdr:colOff>148590</xdr:colOff>
      <xdr:row>241</xdr:row>
      <xdr:rowOff>186690</xdr:rowOff>
    </xdr:to>
    <xdr:sp macro="" textlink="">
      <xdr:nvSpPr>
        <xdr:cNvPr id="277" name="RT_ARROW_2">
          <a:extLst>
            <a:ext uri="{FF2B5EF4-FFF2-40B4-BE49-F238E27FC236}">
              <a16:creationId xmlns:a16="http://schemas.microsoft.com/office/drawing/2014/main" id="{00000000-0008-0000-0200-000015010000}"/>
            </a:ext>
          </a:extLst>
        </xdr:cNvPr>
        <xdr:cNvSpPr/>
      </xdr:nvSpPr>
      <xdr:spPr>
        <a:xfrm>
          <a:off x="8343900" y="56016525"/>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8</xdr:col>
      <xdr:colOff>57150</xdr:colOff>
      <xdr:row>242</xdr:row>
      <xdr:rowOff>95250</xdr:rowOff>
    </xdr:from>
    <xdr:to>
      <xdr:col>8</xdr:col>
      <xdr:colOff>148590</xdr:colOff>
      <xdr:row>242</xdr:row>
      <xdr:rowOff>186690</xdr:rowOff>
    </xdr:to>
    <xdr:sp macro="" textlink="">
      <xdr:nvSpPr>
        <xdr:cNvPr id="278" name="RT_ARROW_2">
          <a:extLst>
            <a:ext uri="{FF2B5EF4-FFF2-40B4-BE49-F238E27FC236}">
              <a16:creationId xmlns:a16="http://schemas.microsoft.com/office/drawing/2014/main" id="{00000000-0008-0000-0200-000016010000}"/>
            </a:ext>
          </a:extLst>
        </xdr:cNvPr>
        <xdr:cNvSpPr/>
      </xdr:nvSpPr>
      <xdr:spPr>
        <a:xfrm>
          <a:off x="8343900" y="56292750"/>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8</xdr:col>
      <xdr:colOff>57150</xdr:colOff>
      <xdr:row>787</xdr:row>
      <xdr:rowOff>85725</xdr:rowOff>
    </xdr:from>
    <xdr:to>
      <xdr:col>8</xdr:col>
      <xdr:colOff>148590</xdr:colOff>
      <xdr:row>787</xdr:row>
      <xdr:rowOff>177165</xdr:rowOff>
    </xdr:to>
    <xdr:sp macro="" textlink="">
      <xdr:nvSpPr>
        <xdr:cNvPr id="295" name="RT_ARROW_2">
          <a:extLst>
            <a:ext uri="{FF2B5EF4-FFF2-40B4-BE49-F238E27FC236}">
              <a16:creationId xmlns:a16="http://schemas.microsoft.com/office/drawing/2014/main" id="{00000000-0008-0000-0200-000027010000}"/>
            </a:ext>
          </a:extLst>
        </xdr:cNvPr>
        <xdr:cNvSpPr/>
      </xdr:nvSpPr>
      <xdr:spPr>
        <a:xfrm>
          <a:off x="8343900" y="152409525"/>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13</xdr:col>
      <xdr:colOff>27214</xdr:colOff>
      <xdr:row>370</xdr:row>
      <xdr:rowOff>1359</xdr:rowOff>
    </xdr:from>
    <xdr:to>
      <xdr:col>14</xdr:col>
      <xdr:colOff>0</xdr:colOff>
      <xdr:row>384</xdr:row>
      <xdr:rowOff>0</xdr:rowOff>
    </xdr:to>
    <xdr:sp macro="" textlink="">
      <xdr:nvSpPr>
        <xdr:cNvPr id="271" name="Line Callout 1 (Accent Bar) 270">
          <a:extLst>
            <a:ext uri="{FF2B5EF4-FFF2-40B4-BE49-F238E27FC236}">
              <a16:creationId xmlns:a16="http://schemas.microsoft.com/office/drawing/2014/main" id="{00000000-0008-0000-0200-00000F010000}"/>
            </a:ext>
          </a:extLst>
        </xdr:cNvPr>
        <xdr:cNvSpPr/>
      </xdr:nvSpPr>
      <xdr:spPr>
        <a:xfrm>
          <a:off x="10819039" y="100852059"/>
          <a:ext cx="153761" cy="3865791"/>
        </a:xfrm>
        <a:prstGeom prst="accentCallout1">
          <a:avLst>
            <a:gd name="adj1" fmla="val 11282"/>
            <a:gd name="adj2" fmla="val -11048"/>
            <a:gd name="adj3" fmla="val 11273"/>
            <a:gd name="adj4" fmla="val -458270"/>
          </a:avLst>
        </a:prstGeom>
        <a:solidFill>
          <a:schemeClr val="accent1">
            <a:lumMod val="40000"/>
            <a:lumOff val="60000"/>
          </a:schemeClr>
        </a:solidFill>
        <a:ln w="38100">
          <a:solidFill>
            <a:schemeClr val="accent1">
              <a:lumMod val="75000"/>
            </a:schemeClr>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oneCellAnchor>
    <xdr:from>
      <xdr:col>21</xdr:col>
      <xdr:colOff>0</xdr:colOff>
      <xdr:row>7</xdr:row>
      <xdr:rowOff>0</xdr:rowOff>
    </xdr:from>
    <xdr:ext cx="184731" cy="247184"/>
    <xdr:sp macro="" textlink="">
      <xdr:nvSpPr>
        <xdr:cNvPr id="279" name="TextBox 278">
          <a:extLst>
            <a:ext uri="{FF2B5EF4-FFF2-40B4-BE49-F238E27FC236}">
              <a16:creationId xmlns:a16="http://schemas.microsoft.com/office/drawing/2014/main" id="{00000000-0008-0000-0200-000017010000}"/>
            </a:ext>
          </a:extLst>
        </xdr:cNvPr>
        <xdr:cNvSpPr txBox="1"/>
      </xdr:nvSpPr>
      <xdr:spPr>
        <a:xfrm>
          <a:off x="6248400" y="1104900"/>
          <a:ext cx="184731" cy="247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050">
            <a:latin typeface="Arial" pitchFamily="34" charset="0"/>
            <a:cs typeface="Arial" pitchFamily="34" charset="0"/>
          </a:endParaRPr>
        </a:p>
      </xdr:txBody>
    </xdr:sp>
    <xdr:clientData/>
  </xdr:oneCellAnchor>
  <xdr:oneCellAnchor>
    <xdr:from>
      <xdr:col>21</xdr:col>
      <xdr:colOff>0</xdr:colOff>
      <xdr:row>7</xdr:row>
      <xdr:rowOff>0</xdr:rowOff>
    </xdr:from>
    <xdr:ext cx="184731" cy="247184"/>
    <xdr:sp macro="" textlink="">
      <xdr:nvSpPr>
        <xdr:cNvPr id="280" name="TextBox 279">
          <a:extLst>
            <a:ext uri="{FF2B5EF4-FFF2-40B4-BE49-F238E27FC236}">
              <a16:creationId xmlns:a16="http://schemas.microsoft.com/office/drawing/2014/main" id="{00000000-0008-0000-0200-000018010000}"/>
            </a:ext>
          </a:extLst>
        </xdr:cNvPr>
        <xdr:cNvSpPr txBox="1"/>
      </xdr:nvSpPr>
      <xdr:spPr>
        <a:xfrm>
          <a:off x="6248400" y="1104900"/>
          <a:ext cx="184731" cy="247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050">
            <a:latin typeface="Arial" pitchFamily="34" charset="0"/>
            <a:cs typeface="Arial" pitchFamily="34" charset="0"/>
          </a:endParaRPr>
        </a:p>
      </xdr:txBody>
    </xdr:sp>
    <xdr:clientData/>
  </xdr:oneCellAnchor>
  <xdr:twoCellAnchor>
    <xdr:from>
      <xdr:col>20</xdr:col>
      <xdr:colOff>95250</xdr:colOff>
      <xdr:row>100</xdr:row>
      <xdr:rowOff>142875</xdr:rowOff>
    </xdr:from>
    <xdr:to>
      <xdr:col>21</xdr:col>
      <xdr:colOff>114300</xdr:colOff>
      <xdr:row>100</xdr:row>
      <xdr:rowOff>142875</xdr:rowOff>
    </xdr:to>
    <xdr:cxnSp macro="">
      <xdr:nvCxnSpPr>
        <xdr:cNvPr id="291" name="DOTTED_LINE">
          <a:extLst>
            <a:ext uri="{FF2B5EF4-FFF2-40B4-BE49-F238E27FC236}">
              <a16:creationId xmlns:a16="http://schemas.microsoft.com/office/drawing/2014/main" id="{00000000-0008-0000-0200-000023010000}"/>
            </a:ext>
          </a:extLst>
        </xdr:cNvPr>
        <xdr:cNvCxnSpPr/>
      </xdr:nvCxnSpPr>
      <xdr:spPr>
        <a:xfrm>
          <a:off x="5629275" y="24641175"/>
          <a:ext cx="7334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38100</xdr:colOff>
      <xdr:row>101</xdr:row>
      <xdr:rowOff>95250</xdr:rowOff>
    </xdr:from>
    <xdr:to>
      <xdr:col>8</xdr:col>
      <xdr:colOff>129540</xdr:colOff>
      <xdr:row>101</xdr:row>
      <xdr:rowOff>186690</xdr:rowOff>
    </xdr:to>
    <xdr:sp macro="" textlink="">
      <xdr:nvSpPr>
        <xdr:cNvPr id="296" name="RT_ARROW_2">
          <a:extLst>
            <a:ext uri="{FF2B5EF4-FFF2-40B4-BE49-F238E27FC236}">
              <a16:creationId xmlns:a16="http://schemas.microsoft.com/office/drawing/2014/main" id="{00000000-0008-0000-0200-000028010000}"/>
            </a:ext>
          </a:extLst>
        </xdr:cNvPr>
        <xdr:cNvSpPr/>
      </xdr:nvSpPr>
      <xdr:spPr>
        <a:xfrm>
          <a:off x="8324850" y="24869775"/>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8</xdr:col>
      <xdr:colOff>38100</xdr:colOff>
      <xdr:row>102</xdr:row>
      <xdr:rowOff>85725</xdr:rowOff>
    </xdr:from>
    <xdr:to>
      <xdr:col>8</xdr:col>
      <xdr:colOff>129540</xdr:colOff>
      <xdr:row>102</xdr:row>
      <xdr:rowOff>177165</xdr:rowOff>
    </xdr:to>
    <xdr:sp macro="" textlink="">
      <xdr:nvSpPr>
        <xdr:cNvPr id="297" name="RT_ARROW_3">
          <a:extLst>
            <a:ext uri="{FF2B5EF4-FFF2-40B4-BE49-F238E27FC236}">
              <a16:creationId xmlns:a16="http://schemas.microsoft.com/office/drawing/2014/main" id="{00000000-0008-0000-0200-000029010000}"/>
            </a:ext>
          </a:extLst>
        </xdr:cNvPr>
        <xdr:cNvSpPr/>
      </xdr:nvSpPr>
      <xdr:spPr>
        <a:xfrm>
          <a:off x="8324850" y="25136475"/>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20</xdr:col>
      <xdr:colOff>657225</xdr:colOff>
      <xdr:row>104</xdr:row>
      <xdr:rowOff>152400</xdr:rowOff>
    </xdr:from>
    <xdr:to>
      <xdr:col>21</xdr:col>
      <xdr:colOff>114300</xdr:colOff>
      <xdr:row>104</xdr:row>
      <xdr:rowOff>152400</xdr:rowOff>
    </xdr:to>
    <xdr:cxnSp macro="">
      <xdr:nvCxnSpPr>
        <xdr:cNvPr id="300" name="DOTTED_LINE">
          <a:extLst>
            <a:ext uri="{FF2B5EF4-FFF2-40B4-BE49-F238E27FC236}">
              <a16:creationId xmlns:a16="http://schemas.microsoft.com/office/drawing/2014/main" id="{00000000-0008-0000-0200-00002C010000}"/>
            </a:ext>
          </a:extLst>
        </xdr:cNvPr>
        <xdr:cNvCxnSpPr/>
      </xdr:nvCxnSpPr>
      <xdr:spPr>
        <a:xfrm>
          <a:off x="14316075" y="25755600"/>
          <a:ext cx="1714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57150</xdr:colOff>
      <xdr:row>128</xdr:row>
      <xdr:rowOff>95250</xdr:rowOff>
    </xdr:from>
    <xdr:to>
      <xdr:col>8</xdr:col>
      <xdr:colOff>148590</xdr:colOff>
      <xdr:row>128</xdr:row>
      <xdr:rowOff>186690</xdr:rowOff>
    </xdr:to>
    <xdr:sp macro="" textlink="">
      <xdr:nvSpPr>
        <xdr:cNvPr id="302" name="RT_ARROW_2">
          <a:extLst>
            <a:ext uri="{FF2B5EF4-FFF2-40B4-BE49-F238E27FC236}">
              <a16:creationId xmlns:a16="http://schemas.microsoft.com/office/drawing/2014/main" id="{00000000-0008-0000-0200-00002E010000}"/>
            </a:ext>
          </a:extLst>
        </xdr:cNvPr>
        <xdr:cNvSpPr/>
      </xdr:nvSpPr>
      <xdr:spPr>
        <a:xfrm>
          <a:off x="8343900" y="34813875"/>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8</xdr:col>
      <xdr:colOff>38100</xdr:colOff>
      <xdr:row>231</xdr:row>
      <xdr:rowOff>85725</xdr:rowOff>
    </xdr:from>
    <xdr:to>
      <xdr:col>8</xdr:col>
      <xdr:colOff>129540</xdr:colOff>
      <xdr:row>231</xdr:row>
      <xdr:rowOff>177165</xdr:rowOff>
    </xdr:to>
    <xdr:sp macro="" textlink="">
      <xdr:nvSpPr>
        <xdr:cNvPr id="305" name="RT_ARROW_2">
          <a:extLst>
            <a:ext uri="{FF2B5EF4-FFF2-40B4-BE49-F238E27FC236}">
              <a16:creationId xmlns:a16="http://schemas.microsoft.com/office/drawing/2014/main" id="{00000000-0008-0000-0200-000031010000}"/>
            </a:ext>
          </a:extLst>
        </xdr:cNvPr>
        <xdr:cNvSpPr/>
      </xdr:nvSpPr>
      <xdr:spPr>
        <a:xfrm>
          <a:off x="8324850" y="52206525"/>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20</xdr:col>
      <xdr:colOff>619125</xdr:colOff>
      <xdr:row>402</xdr:row>
      <xdr:rowOff>142875</xdr:rowOff>
    </xdr:from>
    <xdr:to>
      <xdr:col>21</xdr:col>
      <xdr:colOff>104775</xdr:colOff>
      <xdr:row>402</xdr:row>
      <xdr:rowOff>142875</xdr:rowOff>
    </xdr:to>
    <xdr:cxnSp macro="">
      <xdr:nvCxnSpPr>
        <xdr:cNvPr id="306" name="DOTTED_LINE">
          <a:extLst>
            <a:ext uri="{FF2B5EF4-FFF2-40B4-BE49-F238E27FC236}">
              <a16:creationId xmlns:a16="http://schemas.microsoft.com/office/drawing/2014/main" id="{00000000-0008-0000-0200-000032010000}"/>
            </a:ext>
          </a:extLst>
        </xdr:cNvPr>
        <xdr:cNvCxnSpPr/>
      </xdr:nvCxnSpPr>
      <xdr:spPr>
        <a:xfrm>
          <a:off x="14277975" y="104193975"/>
          <a:ext cx="2000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219074</xdr:colOff>
      <xdr:row>18</xdr:row>
      <xdr:rowOff>9525</xdr:rowOff>
    </xdr:from>
    <xdr:ext cx="2295525" cy="264560"/>
    <xdr:sp macro="" textlink="">
      <xdr:nvSpPr>
        <xdr:cNvPr id="312" name="TOC_SECTION_LINK">
          <a:hlinkClick xmlns:r="http://schemas.openxmlformats.org/officeDocument/2006/relationships" r:id="rId23"/>
          <a:extLst>
            <a:ext uri="{FF2B5EF4-FFF2-40B4-BE49-F238E27FC236}">
              <a16:creationId xmlns:a16="http://schemas.microsoft.com/office/drawing/2014/main" id="{00000000-0008-0000-0200-000038010000}"/>
            </a:ext>
          </a:extLst>
        </xdr:cNvPr>
        <xdr:cNvSpPr txBox="1"/>
      </xdr:nvSpPr>
      <xdr:spPr>
        <a:xfrm>
          <a:off x="8505824" y="4067175"/>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r>
            <a:rPr lang="en-US" sz="900" b="1" i="0" u="none" strike="noStrike">
              <a:solidFill>
                <a:srgbClr val="376091"/>
              </a:solidFill>
              <a:latin typeface="Arial" pitchFamily="34" charset="0"/>
              <a:cs typeface="Arial" pitchFamily="34" charset="0"/>
            </a:rPr>
            <a:t>&gt;</a:t>
          </a:r>
          <a:r>
            <a:rPr lang="en-US" sz="900" b="1" i="0" u="none" strike="noStrike" baseline="0">
              <a:solidFill>
                <a:srgbClr val="376091"/>
              </a:solidFill>
              <a:latin typeface="Arial" pitchFamily="34" charset="0"/>
              <a:cs typeface="Arial" pitchFamily="34" charset="0"/>
            </a:rPr>
            <a:t> </a:t>
          </a:r>
          <a:r>
            <a:rPr lang="en-US" sz="900" b="1" i="0" u="sng" strike="noStrike" baseline="0">
              <a:solidFill>
                <a:srgbClr val="376091"/>
              </a:solidFill>
              <a:latin typeface="Arial" pitchFamily="34" charset="0"/>
              <a:cs typeface="Arial" pitchFamily="34" charset="0"/>
            </a:rPr>
            <a:t>Project Description</a:t>
          </a:r>
          <a:endParaRPr lang="en-US" sz="900" b="1" i="0" u="none" strike="noStrike">
            <a:solidFill>
              <a:srgbClr val="376091"/>
            </a:solidFill>
            <a:latin typeface="Arial" pitchFamily="34" charset="0"/>
            <a:cs typeface="Arial" pitchFamily="34" charset="0"/>
          </a:endParaRPr>
        </a:p>
      </xdr:txBody>
    </xdr:sp>
    <xdr:clientData fPrintsWithSheet="0"/>
  </xdr:oneCellAnchor>
  <xdr:twoCellAnchor>
    <xdr:from>
      <xdr:col>8</xdr:col>
      <xdr:colOff>57150</xdr:colOff>
      <xdr:row>152</xdr:row>
      <xdr:rowOff>95250</xdr:rowOff>
    </xdr:from>
    <xdr:to>
      <xdr:col>8</xdr:col>
      <xdr:colOff>148590</xdr:colOff>
      <xdr:row>152</xdr:row>
      <xdr:rowOff>186690</xdr:rowOff>
    </xdr:to>
    <xdr:sp macro="" textlink="">
      <xdr:nvSpPr>
        <xdr:cNvPr id="316" name="RT_ARROW_2">
          <a:extLst>
            <a:ext uri="{FF2B5EF4-FFF2-40B4-BE49-F238E27FC236}">
              <a16:creationId xmlns:a16="http://schemas.microsoft.com/office/drawing/2014/main" id="{00000000-0008-0000-0200-00003C010000}"/>
            </a:ext>
          </a:extLst>
        </xdr:cNvPr>
        <xdr:cNvSpPr/>
      </xdr:nvSpPr>
      <xdr:spPr>
        <a:xfrm>
          <a:off x="8343900" y="38128575"/>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14</xdr:col>
      <xdr:colOff>523875</xdr:colOff>
      <xdr:row>151</xdr:row>
      <xdr:rowOff>152400</xdr:rowOff>
    </xdr:from>
    <xdr:to>
      <xdr:col>21</xdr:col>
      <xdr:colOff>133350</xdr:colOff>
      <xdr:row>151</xdr:row>
      <xdr:rowOff>152400</xdr:rowOff>
    </xdr:to>
    <xdr:cxnSp macro="">
      <xdr:nvCxnSpPr>
        <xdr:cNvPr id="317" name="DOTTED_LINE">
          <a:extLst>
            <a:ext uri="{FF2B5EF4-FFF2-40B4-BE49-F238E27FC236}">
              <a16:creationId xmlns:a16="http://schemas.microsoft.com/office/drawing/2014/main" id="{00000000-0008-0000-0200-00003D010000}"/>
            </a:ext>
          </a:extLst>
        </xdr:cNvPr>
        <xdr:cNvCxnSpPr/>
      </xdr:nvCxnSpPr>
      <xdr:spPr>
        <a:xfrm>
          <a:off x="11496675" y="35423475"/>
          <a:ext cx="30099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390525</xdr:colOff>
      <xdr:row>114</xdr:row>
      <xdr:rowOff>142875</xdr:rowOff>
    </xdr:from>
    <xdr:to>
      <xdr:col>21</xdr:col>
      <xdr:colOff>133350</xdr:colOff>
      <xdr:row>114</xdr:row>
      <xdr:rowOff>142875</xdr:rowOff>
    </xdr:to>
    <xdr:cxnSp macro="">
      <xdr:nvCxnSpPr>
        <xdr:cNvPr id="281" name="DOTTED_LINE">
          <a:extLst>
            <a:ext uri="{FF2B5EF4-FFF2-40B4-BE49-F238E27FC236}">
              <a16:creationId xmlns:a16="http://schemas.microsoft.com/office/drawing/2014/main" id="{00000000-0008-0000-0200-000019010000}"/>
            </a:ext>
          </a:extLst>
        </xdr:cNvPr>
        <xdr:cNvCxnSpPr/>
      </xdr:nvCxnSpPr>
      <xdr:spPr>
        <a:xfrm>
          <a:off x="11363325" y="29889450"/>
          <a:ext cx="31432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123825</xdr:colOff>
      <xdr:row>817</xdr:row>
      <xdr:rowOff>142875</xdr:rowOff>
    </xdr:from>
    <xdr:to>
      <xdr:col>21</xdr:col>
      <xdr:colOff>104775</xdr:colOff>
      <xdr:row>817</xdr:row>
      <xdr:rowOff>142875</xdr:rowOff>
    </xdr:to>
    <xdr:cxnSp macro="">
      <xdr:nvCxnSpPr>
        <xdr:cNvPr id="286" name="DOTTED_LINE">
          <a:extLst>
            <a:ext uri="{FF2B5EF4-FFF2-40B4-BE49-F238E27FC236}">
              <a16:creationId xmlns:a16="http://schemas.microsoft.com/office/drawing/2014/main" id="{00000000-0008-0000-0200-00001E010000}"/>
            </a:ext>
          </a:extLst>
        </xdr:cNvPr>
        <xdr:cNvCxnSpPr/>
      </xdr:nvCxnSpPr>
      <xdr:spPr>
        <a:xfrm>
          <a:off x="12887325" y="190776225"/>
          <a:ext cx="15906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314325</xdr:colOff>
      <xdr:row>20</xdr:row>
      <xdr:rowOff>9525</xdr:rowOff>
    </xdr:from>
    <xdr:ext cx="2181225" cy="264560"/>
    <xdr:sp macro="" textlink="$AC$21">
      <xdr:nvSpPr>
        <xdr:cNvPr id="311" name="TOC_SECTION_LINK">
          <a:hlinkClick xmlns:r="http://schemas.openxmlformats.org/officeDocument/2006/relationships" r:id="rId24"/>
          <a:extLst>
            <a:ext uri="{FF2B5EF4-FFF2-40B4-BE49-F238E27FC236}">
              <a16:creationId xmlns:a16="http://schemas.microsoft.com/office/drawing/2014/main" id="{00000000-0008-0000-0200-000037010000}"/>
            </a:ext>
          </a:extLst>
        </xdr:cNvPr>
        <xdr:cNvSpPr txBox="1"/>
      </xdr:nvSpPr>
      <xdr:spPr>
        <a:xfrm>
          <a:off x="4057650" y="4619625"/>
          <a:ext cx="2181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0B7EE97E-1253-47E5-89CC-ABC4EB8810D5}" type="TxLink">
            <a:rPr lang="en-US" sz="900" b="1" i="0" u="sng" strike="noStrike">
              <a:solidFill>
                <a:srgbClr val="366092"/>
              </a:solidFill>
              <a:latin typeface="Arial"/>
              <a:cs typeface="Arial"/>
            </a:rPr>
            <a:pPr algn="l"/>
            <a:t>Promotion of Empowerment</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twoCellAnchor>
    <xdr:from>
      <xdr:col>7</xdr:col>
      <xdr:colOff>66675</xdr:colOff>
      <xdr:row>814</xdr:row>
      <xdr:rowOff>0</xdr:rowOff>
    </xdr:from>
    <xdr:to>
      <xdr:col>24</xdr:col>
      <xdr:colOff>104775</xdr:colOff>
      <xdr:row>818</xdr:row>
      <xdr:rowOff>85722</xdr:rowOff>
    </xdr:to>
    <xdr:grpSp>
      <xdr:nvGrpSpPr>
        <xdr:cNvPr id="178" name="Group 177">
          <a:extLst>
            <a:ext uri="{FF2B5EF4-FFF2-40B4-BE49-F238E27FC236}">
              <a16:creationId xmlns:a16="http://schemas.microsoft.com/office/drawing/2014/main" id="{00000000-0008-0000-0200-0000B2000000}"/>
            </a:ext>
          </a:extLst>
        </xdr:cNvPr>
        <xdr:cNvGrpSpPr/>
      </xdr:nvGrpSpPr>
      <xdr:grpSpPr>
        <a:xfrm>
          <a:off x="66675" y="241049175"/>
          <a:ext cx="7362825" cy="1190622"/>
          <a:chOff x="8191500" y="185499371"/>
          <a:chExt cx="7362825" cy="1228726"/>
        </a:xfrm>
      </xdr:grpSpPr>
      <xdr:grpSp>
        <xdr:nvGrpSpPr>
          <xdr:cNvPr id="303" name="SECTION_GROUP">
            <a:extLst>
              <a:ext uri="{FF2B5EF4-FFF2-40B4-BE49-F238E27FC236}">
                <a16:creationId xmlns:a16="http://schemas.microsoft.com/office/drawing/2014/main" id="{00000000-0008-0000-0200-00002F010000}"/>
              </a:ext>
            </a:extLst>
          </xdr:cNvPr>
          <xdr:cNvGrpSpPr/>
        </xdr:nvGrpSpPr>
        <xdr:grpSpPr>
          <a:xfrm>
            <a:off x="8191500" y="185499371"/>
            <a:ext cx="7362824" cy="1228726"/>
            <a:chOff x="9363075" y="17306808"/>
            <a:chExt cx="7362825" cy="1322631"/>
          </a:xfrm>
        </xdr:grpSpPr>
        <xdr:sp macro="" textlink="$B$461">
          <xdr:nvSpPr>
            <xdr:cNvPr id="304" name="SECTION_GROUP_TITLE">
              <a:extLst>
                <a:ext uri="{FF2B5EF4-FFF2-40B4-BE49-F238E27FC236}">
                  <a16:creationId xmlns:a16="http://schemas.microsoft.com/office/drawing/2014/main" id="{00000000-0008-0000-0200-000030010000}"/>
                </a:ext>
              </a:extLst>
            </xdr:cNvPr>
            <xdr:cNvSpPr/>
          </xdr:nvSpPr>
          <xdr:spPr>
            <a:xfrm>
              <a:off x="9363075" y="17306808"/>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B091B802-330B-4D79-8629-B4149B378C03}" type="TxLink">
                <a:rPr lang="en-US" sz="1000" b="1" i="0" u="none" strike="noStrike">
                  <a:solidFill>
                    <a:srgbClr val="FFFFFF"/>
                  </a:solidFill>
                  <a:latin typeface="Arialri"/>
                  <a:cs typeface="Arial" pitchFamily="34" charset="0"/>
                </a:rPr>
                <a:pPr algn="l"/>
                <a:t>In-District Projects (Maximum Points: 5)</a:t>
              </a:fld>
              <a:endParaRPr lang="en-US" sz="1000" b="1" i="0" u="none" strike="noStrike">
                <a:solidFill>
                  <a:schemeClr val="bg1"/>
                </a:solidFill>
                <a:latin typeface="Arial" pitchFamily="34" charset="0"/>
                <a:cs typeface="Arial" pitchFamily="34" charset="0"/>
              </a:endParaRPr>
            </a:p>
          </xdr:txBody>
        </xdr:sp>
        <xdr:sp macro="" textlink="">
          <xdr:nvSpPr>
            <xdr:cNvPr id="307" name="SECTION_GROUP_FRAME">
              <a:extLst>
                <a:ext uri="{FF2B5EF4-FFF2-40B4-BE49-F238E27FC236}">
                  <a16:creationId xmlns:a16="http://schemas.microsoft.com/office/drawing/2014/main" id="{00000000-0008-0000-0200-000033010000}"/>
                </a:ext>
              </a:extLst>
            </xdr:cNvPr>
            <xdr:cNvSpPr/>
          </xdr:nvSpPr>
          <xdr:spPr>
            <a:xfrm>
              <a:off x="9363075" y="17641464"/>
              <a:ext cx="7362825" cy="987975"/>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468">
          <xdr:nvSpPr>
            <xdr:cNvPr id="309" name="SECTION_GROUP_SUBTITLE">
              <a:extLst>
                <a:ext uri="{FF2B5EF4-FFF2-40B4-BE49-F238E27FC236}">
                  <a16:creationId xmlns:a16="http://schemas.microsoft.com/office/drawing/2014/main" id="{00000000-0008-0000-0200-000035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F9B22905-B741-4A0E-BC37-46EEBBFC36C6}" type="TxLink">
                <a:rPr lang="en-US" sz="800" b="0" i="0" u="none" strike="noStrike">
                  <a:solidFill>
                    <a:srgbClr val="000000"/>
                  </a:solidFill>
                  <a:latin typeface="Arialri"/>
                  <a:cs typeface="Arial" pitchFamily="34" charset="0"/>
                </a:rPr>
                <a:pPr algn="r"/>
                <a:t>Not Started</a:t>
              </a:fld>
              <a:endParaRPr lang="en-US" sz="1050" b="0" i="0">
                <a:latin typeface="Arial" pitchFamily="34" charset="0"/>
                <a:cs typeface="Arial" pitchFamily="34" charset="0"/>
              </a:endParaRPr>
            </a:p>
          </xdr:txBody>
        </xdr:sp>
        <xdr:sp macro="" textlink="">
          <xdr:nvSpPr>
            <xdr:cNvPr id="310" name="SECTION_GROUP_SUBTITLE_LABEL">
              <a:extLst>
                <a:ext uri="{FF2B5EF4-FFF2-40B4-BE49-F238E27FC236}">
                  <a16:creationId xmlns:a16="http://schemas.microsoft.com/office/drawing/2014/main" id="{00000000-0008-0000-0200-000036010000}"/>
                </a:ext>
              </a:extLst>
            </xdr:cNvPr>
            <xdr:cNvSpPr txBox="1"/>
          </xdr:nvSpPr>
          <xdr:spPr>
            <a:xfrm>
              <a:off x="15630526"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sp macro="" textlink="">
        <xdr:nvSpPr>
          <xdr:cNvPr id="313" name="LINK_RENTAL_TOC">
            <a:hlinkClick xmlns:r="http://schemas.openxmlformats.org/officeDocument/2006/relationships" r:id="rId18"/>
            <a:extLst>
              <a:ext uri="{FF2B5EF4-FFF2-40B4-BE49-F238E27FC236}">
                <a16:creationId xmlns:a16="http://schemas.microsoft.com/office/drawing/2014/main" id="{00000000-0008-0000-0200-000039010000}"/>
              </a:ext>
            </a:extLst>
          </xdr:cNvPr>
          <xdr:cNvSpPr/>
        </xdr:nvSpPr>
        <xdr:spPr>
          <a:xfrm>
            <a:off x="14525625" y="185499371"/>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grpSp>
    <xdr:clientData fPrintsWithSheet="0"/>
  </xdr:twoCellAnchor>
  <mc:AlternateContent xmlns:mc="http://schemas.openxmlformats.org/markup-compatibility/2006">
    <mc:Choice xmlns:a14="http://schemas.microsoft.com/office/drawing/2010/main" Requires="a14">
      <xdr:twoCellAnchor editAs="oneCell">
        <xdr:from>
          <xdr:col>8</xdr:col>
          <xdr:colOff>19050</xdr:colOff>
          <xdr:row>86</xdr:row>
          <xdr:rowOff>28575</xdr:rowOff>
        </xdr:from>
        <xdr:to>
          <xdr:col>8</xdr:col>
          <xdr:colOff>638175</xdr:colOff>
          <xdr:row>86</xdr:row>
          <xdr:rowOff>247650</xdr:rowOff>
        </xdr:to>
        <xdr:sp macro="" textlink="">
          <xdr:nvSpPr>
            <xdr:cNvPr id="23553" name="OTHER_DISTRICT_ATLANTA" hidden="1">
              <a:extLst>
                <a:ext uri="{63B3BB69-23CF-44E3-9099-C40C66FF867C}">
                  <a14:compatExt spid="_x0000_s23553"/>
                </a:ext>
                <a:ext uri="{FF2B5EF4-FFF2-40B4-BE49-F238E27FC236}">
                  <a16:creationId xmlns:a16="http://schemas.microsoft.com/office/drawing/2014/main" id="{00000000-0008-0000-02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Atlanta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409575</xdr:colOff>
          <xdr:row>86</xdr:row>
          <xdr:rowOff>28575</xdr:rowOff>
        </xdr:from>
        <xdr:to>
          <xdr:col>20</xdr:col>
          <xdr:colOff>285750</xdr:colOff>
          <xdr:row>86</xdr:row>
          <xdr:rowOff>247650</xdr:rowOff>
        </xdr:to>
        <xdr:sp macro="" textlink="">
          <xdr:nvSpPr>
            <xdr:cNvPr id="23554" name="OTHER_DISTRICT_CINCINNATI" hidden="1">
              <a:extLst>
                <a:ext uri="{63B3BB69-23CF-44E3-9099-C40C66FF867C}">
                  <a14:compatExt spid="_x0000_s23554"/>
                </a:ext>
                <a:ext uri="{FF2B5EF4-FFF2-40B4-BE49-F238E27FC236}">
                  <a16:creationId xmlns:a16="http://schemas.microsoft.com/office/drawing/2014/main" id="{00000000-0008-0000-02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Cincinnati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86</xdr:row>
          <xdr:rowOff>28575</xdr:rowOff>
        </xdr:from>
        <xdr:to>
          <xdr:col>22</xdr:col>
          <xdr:colOff>647700</xdr:colOff>
          <xdr:row>86</xdr:row>
          <xdr:rowOff>247650</xdr:rowOff>
        </xdr:to>
        <xdr:sp macro="" textlink="">
          <xdr:nvSpPr>
            <xdr:cNvPr id="23555" name="OTHER_DISTRICT_DALLAS" hidden="1">
              <a:extLst>
                <a:ext uri="{63B3BB69-23CF-44E3-9099-C40C66FF867C}">
                  <a14:compatExt spid="_x0000_s23555"/>
                </a:ext>
                <a:ext uri="{FF2B5EF4-FFF2-40B4-BE49-F238E27FC236}">
                  <a16:creationId xmlns:a16="http://schemas.microsoft.com/office/drawing/2014/main" id="{00000000-0008-0000-02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Dallas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495300</xdr:colOff>
          <xdr:row>87</xdr:row>
          <xdr:rowOff>38100</xdr:rowOff>
        </xdr:from>
        <xdr:to>
          <xdr:col>16</xdr:col>
          <xdr:colOff>390525</xdr:colOff>
          <xdr:row>87</xdr:row>
          <xdr:rowOff>257175</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2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York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409575</xdr:colOff>
          <xdr:row>87</xdr:row>
          <xdr:rowOff>38100</xdr:rowOff>
        </xdr:from>
        <xdr:to>
          <xdr:col>20</xdr:col>
          <xdr:colOff>295275</xdr:colOff>
          <xdr:row>87</xdr:row>
          <xdr:rowOff>257175</xdr:rowOff>
        </xdr:to>
        <xdr:sp macro="" textlink="">
          <xdr:nvSpPr>
            <xdr:cNvPr id="23557" name="OTHER_DISTRICT_PITTSBURGH" hidden="1">
              <a:extLst>
                <a:ext uri="{63B3BB69-23CF-44E3-9099-C40C66FF867C}">
                  <a14:compatExt spid="_x0000_s23557"/>
                </a:ext>
                <a:ext uri="{FF2B5EF4-FFF2-40B4-BE49-F238E27FC236}">
                  <a16:creationId xmlns:a16="http://schemas.microsoft.com/office/drawing/2014/main" id="{00000000-0008-0000-02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Pittsburgh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87</xdr:row>
          <xdr:rowOff>38100</xdr:rowOff>
        </xdr:from>
        <xdr:to>
          <xdr:col>22</xdr:col>
          <xdr:colOff>647700</xdr:colOff>
          <xdr:row>87</xdr:row>
          <xdr:rowOff>257175</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2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Topeka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86</xdr:row>
          <xdr:rowOff>28575</xdr:rowOff>
        </xdr:from>
        <xdr:to>
          <xdr:col>12</xdr:col>
          <xdr:colOff>228600</xdr:colOff>
          <xdr:row>86</xdr:row>
          <xdr:rowOff>247650</xdr:rowOff>
        </xdr:to>
        <xdr:sp macro="" textlink="">
          <xdr:nvSpPr>
            <xdr:cNvPr id="23559" name="OTHER_DISTRICT_BOSTON" hidden="1">
              <a:extLst>
                <a:ext uri="{63B3BB69-23CF-44E3-9099-C40C66FF867C}">
                  <a14:compatExt spid="_x0000_s23559"/>
                </a:ext>
                <a:ext uri="{FF2B5EF4-FFF2-40B4-BE49-F238E27FC236}">
                  <a16:creationId xmlns:a16="http://schemas.microsoft.com/office/drawing/2014/main" id="{00000000-0008-0000-02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Boston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495300</xdr:colOff>
          <xdr:row>86</xdr:row>
          <xdr:rowOff>28575</xdr:rowOff>
        </xdr:from>
        <xdr:to>
          <xdr:col>16</xdr:col>
          <xdr:colOff>219075</xdr:colOff>
          <xdr:row>86</xdr:row>
          <xdr:rowOff>247650</xdr:rowOff>
        </xdr:to>
        <xdr:sp macro="" textlink="">
          <xdr:nvSpPr>
            <xdr:cNvPr id="23560" name="OTHER_DISTRICT_CHICAGO" hidden="1">
              <a:extLst>
                <a:ext uri="{63B3BB69-23CF-44E3-9099-C40C66FF867C}">
                  <a14:compatExt spid="_x0000_s23560"/>
                </a:ext>
                <a:ext uri="{FF2B5EF4-FFF2-40B4-BE49-F238E27FC236}">
                  <a16:creationId xmlns:a16="http://schemas.microsoft.com/office/drawing/2014/main" id="{00000000-0008-0000-02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Chicago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87</xdr:row>
          <xdr:rowOff>38100</xdr:rowOff>
        </xdr:from>
        <xdr:to>
          <xdr:col>9</xdr:col>
          <xdr:colOff>104775</xdr:colOff>
          <xdr:row>87</xdr:row>
          <xdr:rowOff>257175</xdr:rowOff>
        </xdr:to>
        <xdr:sp macro="" textlink="">
          <xdr:nvSpPr>
            <xdr:cNvPr id="23561" name="OTHER_DISTRICT_DESMOINES" hidden="1">
              <a:extLst>
                <a:ext uri="{63B3BB69-23CF-44E3-9099-C40C66FF867C}">
                  <a14:compatExt spid="_x0000_s23561"/>
                </a:ext>
                <a:ext uri="{FF2B5EF4-FFF2-40B4-BE49-F238E27FC236}">
                  <a16:creationId xmlns:a16="http://schemas.microsoft.com/office/drawing/2014/main" id="{00000000-0008-0000-02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Des Moines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87</xdr:row>
          <xdr:rowOff>38100</xdr:rowOff>
        </xdr:from>
        <xdr:to>
          <xdr:col>12</xdr:col>
          <xdr:colOff>495300</xdr:colOff>
          <xdr:row>87</xdr:row>
          <xdr:rowOff>257175</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2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Indianapolis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638</xdr:row>
          <xdr:rowOff>19050</xdr:rowOff>
        </xdr:from>
        <xdr:to>
          <xdr:col>22</xdr:col>
          <xdr:colOff>685800</xdr:colOff>
          <xdr:row>638</xdr:row>
          <xdr:rowOff>238125</xdr:rowOff>
        </xdr:to>
        <xdr:sp macro="" textlink="">
          <xdr:nvSpPr>
            <xdr:cNvPr id="23574" name="Option Button 22" hidden="1">
              <a:extLst>
                <a:ext uri="{63B3BB69-23CF-44E3-9099-C40C66FF867C}">
                  <a14:compatExt spid="_x0000_s23574"/>
                </a:ext>
                <a:ext uri="{FF2B5EF4-FFF2-40B4-BE49-F238E27FC236}">
                  <a16:creationId xmlns:a16="http://schemas.microsoft.com/office/drawing/2014/main" id="{00000000-0008-0000-0200-0000165C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641</xdr:row>
          <xdr:rowOff>28575</xdr:rowOff>
        </xdr:from>
        <xdr:to>
          <xdr:col>22</xdr:col>
          <xdr:colOff>666750</xdr:colOff>
          <xdr:row>641</xdr:row>
          <xdr:rowOff>247650</xdr:rowOff>
        </xdr:to>
        <xdr:sp macro="" textlink="">
          <xdr:nvSpPr>
            <xdr:cNvPr id="23575" name="Option Button 23" hidden="1">
              <a:extLst>
                <a:ext uri="{63B3BB69-23CF-44E3-9099-C40C66FF867C}">
                  <a14:compatExt spid="_x0000_s23575"/>
                </a:ext>
                <a:ext uri="{FF2B5EF4-FFF2-40B4-BE49-F238E27FC236}">
                  <a16:creationId xmlns:a16="http://schemas.microsoft.com/office/drawing/2014/main" id="{00000000-0008-0000-0200-0000175C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644</xdr:row>
          <xdr:rowOff>19050</xdr:rowOff>
        </xdr:from>
        <xdr:to>
          <xdr:col>22</xdr:col>
          <xdr:colOff>666750</xdr:colOff>
          <xdr:row>644</xdr:row>
          <xdr:rowOff>238125</xdr:rowOff>
        </xdr:to>
        <xdr:sp macro="" textlink="">
          <xdr:nvSpPr>
            <xdr:cNvPr id="23576" name="Option Button 24" hidden="1">
              <a:extLst>
                <a:ext uri="{63B3BB69-23CF-44E3-9099-C40C66FF867C}">
                  <a14:compatExt spid="_x0000_s23576"/>
                </a:ext>
                <a:ext uri="{FF2B5EF4-FFF2-40B4-BE49-F238E27FC236}">
                  <a16:creationId xmlns:a16="http://schemas.microsoft.com/office/drawing/2014/main" id="{00000000-0008-0000-0200-0000185C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688</xdr:row>
          <xdr:rowOff>28575</xdr:rowOff>
        </xdr:from>
        <xdr:to>
          <xdr:col>22</xdr:col>
          <xdr:colOff>685800</xdr:colOff>
          <xdr:row>689</xdr:row>
          <xdr:rowOff>266700</xdr:rowOff>
        </xdr:to>
        <xdr:sp macro="" textlink="">
          <xdr:nvSpPr>
            <xdr:cNvPr id="23578" name="Option Button 26" hidden="1">
              <a:extLst>
                <a:ext uri="{63B3BB69-23CF-44E3-9099-C40C66FF867C}">
                  <a14:compatExt spid="_x0000_s23578"/>
                </a:ext>
                <a:ext uri="{FF2B5EF4-FFF2-40B4-BE49-F238E27FC236}">
                  <a16:creationId xmlns:a16="http://schemas.microsoft.com/office/drawing/2014/main" id="{00000000-0008-0000-0200-00001A5C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692</xdr:row>
          <xdr:rowOff>28575</xdr:rowOff>
        </xdr:from>
        <xdr:to>
          <xdr:col>22</xdr:col>
          <xdr:colOff>666750</xdr:colOff>
          <xdr:row>693</xdr:row>
          <xdr:rowOff>257175</xdr:rowOff>
        </xdr:to>
        <xdr:sp macro="" textlink="">
          <xdr:nvSpPr>
            <xdr:cNvPr id="23579" name="Option Button 27" hidden="1">
              <a:extLst>
                <a:ext uri="{63B3BB69-23CF-44E3-9099-C40C66FF867C}">
                  <a14:compatExt spid="_x0000_s23579"/>
                </a:ext>
                <a:ext uri="{FF2B5EF4-FFF2-40B4-BE49-F238E27FC236}">
                  <a16:creationId xmlns:a16="http://schemas.microsoft.com/office/drawing/2014/main" id="{00000000-0008-0000-0200-00001B5C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696</xdr:row>
          <xdr:rowOff>19050</xdr:rowOff>
        </xdr:from>
        <xdr:to>
          <xdr:col>22</xdr:col>
          <xdr:colOff>666750</xdr:colOff>
          <xdr:row>697</xdr:row>
          <xdr:rowOff>247650</xdr:rowOff>
        </xdr:to>
        <xdr:sp macro="" textlink="">
          <xdr:nvSpPr>
            <xdr:cNvPr id="23580" name="Option Button 28" hidden="1">
              <a:extLst>
                <a:ext uri="{63B3BB69-23CF-44E3-9099-C40C66FF867C}">
                  <a14:compatExt spid="_x0000_s23580"/>
                </a:ext>
                <a:ext uri="{FF2B5EF4-FFF2-40B4-BE49-F238E27FC236}">
                  <a16:creationId xmlns:a16="http://schemas.microsoft.com/office/drawing/2014/main" id="{00000000-0008-0000-0200-00001C5C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700</xdr:row>
          <xdr:rowOff>28575</xdr:rowOff>
        </xdr:from>
        <xdr:to>
          <xdr:col>22</xdr:col>
          <xdr:colOff>685800</xdr:colOff>
          <xdr:row>700</xdr:row>
          <xdr:rowOff>247650</xdr:rowOff>
        </xdr:to>
        <xdr:sp macro="" textlink="">
          <xdr:nvSpPr>
            <xdr:cNvPr id="23581" name="Option Button 29" hidden="1">
              <a:extLst>
                <a:ext uri="{63B3BB69-23CF-44E3-9099-C40C66FF867C}">
                  <a14:compatExt spid="_x0000_s23581"/>
                </a:ext>
                <a:ext uri="{FF2B5EF4-FFF2-40B4-BE49-F238E27FC236}">
                  <a16:creationId xmlns:a16="http://schemas.microsoft.com/office/drawing/2014/main" id="{00000000-0008-0000-0200-00001D5C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714</xdr:row>
          <xdr:rowOff>19050</xdr:rowOff>
        </xdr:from>
        <xdr:to>
          <xdr:col>22</xdr:col>
          <xdr:colOff>695325</xdr:colOff>
          <xdr:row>714</xdr:row>
          <xdr:rowOff>238125</xdr:rowOff>
        </xdr:to>
        <xdr:sp macro="" textlink="">
          <xdr:nvSpPr>
            <xdr:cNvPr id="23582" name="Check Box 30" hidden="1">
              <a:extLst>
                <a:ext uri="{63B3BB69-23CF-44E3-9099-C40C66FF867C}">
                  <a14:compatExt spid="_x0000_s23582"/>
                </a:ext>
                <a:ext uri="{FF2B5EF4-FFF2-40B4-BE49-F238E27FC236}">
                  <a16:creationId xmlns:a16="http://schemas.microsoft.com/office/drawing/2014/main" id="{00000000-0008-0000-0200-00001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718</xdr:row>
          <xdr:rowOff>28575</xdr:rowOff>
        </xdr:from>
        <xdr:to>
          <xdr:col>22</xdr:col>
          <xdr:colOff>695325</xdr:colOff>
          <xdr:row>718</xdr:row>
          <xdr:rowOff>247650</xdr:rowOff>
        </xdr:to>
        <xdr:sp macro="" textlink="">
          <xdr:nvSpPr>
            <xdr:cNvPr id="23583" name="Check Box 31" hidden="1">
              <a:extLst>
                <a:ext uri="{63B3BB69-23CF-44E3-9099-C40C66FF867C}">
                  <a14:compatExt spid="_x0000_s23583"/>
                </a:ext>
                <a:ext uri="{FF2B5EF4-FFF2-40B4-BE49-F238E27FC236}">
                  <a16:creationId xmlns:a16="http://schemas.microsoft.com/office/drawing/2014/main" id="{00000000-0008-0000-0200-00001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729</xdr:row>
          <xdr:rowOff>19050</xdr:rowOff>
        </xdr:from>
        <xdr:to>
          <xdr:col>22</xdr:col>
          <xdr:colOff>685800</xdr:colOff>
          <xdr:row>729</xdr:row>
          <xdr:rowOff>238125</xdr:rowOff>
        </xdr:to>
        <xdr:sp macro="" textlink="">
          <xdr:nvSpPr>
            <xdr:cNvPr id="23585" name="Option Button 33" hidden="1">
              <a:extLst>
                <a:ext uri="{63B3BB69-23CF-44E3-9099-C40C66FF867C}">
                  <a14:compatExt spid="_x0000_s23585"/>
                </a:ext>
                <a:ext uri="{FF2B5EF4-FFF2-40B4-BE49-F238E27FC236}">
                  <a16:creationId xmlns:a16="http://schemas.microsoft.com/office/drawing/2014/main" id="{00000000-0008-0000-0200-0000215C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734</xdr:row>
          <xdr:rowOff>19050</xdr:rowOff>
        </xdr:from>
        <xdr:to>
          <xdr:col>22</xdr:col>
          <xdr:colOff>666750</xdr:colOff>
          <xdr:row>734</xdr:row>
          <xdr:rowOff>238125</xdr:rowOff>
        </xdr:to>
        <xdr:sp macro="" textlink="">
          <xdr:nvSpPr>
            <xdr:cNvPr id="23586" name="Option Button 34" hidden="1">
              <a:extLst>
                <a:ext uri="{63B3BB69-23CF-44E3-9099-C40C66FF867C}">
                  <a14:compatExt spid="_x0000_s23586"/>
                </a:ext>
                <a:ext uri="{FF2B5EF4-FFF2-40B4-BE49-F238E27FC236}">
                  <a16:creationId xmlns:a16="http://schemas.microsoft.com/office/drawing/2014/main" id="{00000000-0008-0000-0200-0000225C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745</xdr:row>
          <xdr:rowOff>19050</xdr:rowOff>
        </xdr:from>
        <xdr:to>
          <xdr:col>22</xdr:col>
          <xdr:colOff>666750</xdr:colOff>
          <xdr:row>745</xdr:row>
          <xdr:rowOff>238125</xdr:rowOff>
        </xdr:to>
        <xdr:sp macro="" textlink="">
          <xdr:nvSpPr>
            <xdr:cNvPr id="23587" name="Option Button 35" hidden="1">
              <a:extLst>
                <a:ext uri="{63B3BB69-23CF-44E3-9099-C40C66FF867C}">
                  <a14:compatExt spid="_x0000_s23587"/>
                </a:ext>
                <a:ext uri="{FF2B5EF4-FFF2-40B4-BE49-F238E27FC236}">
                  <a16:creationId xmlns:a16="http://schemas.microsoft.com/office/drawing/2014/main" id="{00000000-0008-0000-0200-0000235C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647</xdr:row>
          <xdr:rowOff>19050</xdr:rowOff>
        </xdr:from>
        <xdr:to>
          <xdr:col>22</xdr:col>
          <xdr:colOff>666750</xdr:colOff>
          <xdr:row>647</xdr:row>
          <xdr:rowOff>238125</xdr:rowOff>
        </xdr:to>
        <xdr:sp macro="" textlink="">
          <xdr:nvSpPr>
            <xdr:cNvPr id="23589" name="Option Button 37" hidden="1">
              <a:extLst>
                <a:ext uri="{63B3BB69-23CF-44E3-9099-C40C66FF867C}">
                  <a14:compatExt spid="_x0000_s23589"/>
                </a:ext>
                <a:ext uri="{FF2B5EF4-FFF2-40B4-BE49-F238E27FC236}">
                  <a16:creationId xmlns:a16="http://schemas.microsoft.com/office/drawing/2014/main" id="{00000000-0008-0000-0200-0000255C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47625</xdr:colOff>
      <xdr:row>114</xdr:row>
      <xdr:rowOff>95250</xdr:rowOff>
    </xdr:from>
    <xdr:to>
      <xdr:col>8</xdr:col>
      <xdr:colOff>139065</xdr:colOff>
      <xdr:row>114</xdr:row>
      <xdr:rowOff>186690</xdr:rowOff>
    </xdr:to>
    <xdr:sp macro="" textlink="">
      <xdr:nvSpPr>
        <xdr:cNvPr id="321" name="RT_ARROW_2">
          <a:extLst>
            <a:ext uri="{FF2B5EF4-FFF2-40B4-BE49-F238E27FC236}">
              <a16:creationId xmlns:a16="http://schemas.microsoft.com/office/drawing/2014/main" id="{00000000-0008-0000-0200-000041010000}"/>
            </a:ext>
          </a:extLst>
        </xdr:cNvPr>
        <xdr:cNvSpPr/>
      </xdr:nvSpPr>
      <xdr:spPr>
        <a:xfrm>
          <a:off x="8334375" y="29841825"/>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8</xdr:col>
      <xdr:colOff>47625</xdr:colOff>
      <xdr:row>115</xdr:row>
      <xdr:rowOff>85725</xdr:rowOff>
    </xdr:from>
    <xdr:to>
      <xdr:col>8</xdr:col>
      <xdr:colOff>139065</xdr:colOff>
      <xdr:row>115</xdr:row>
      <xdr:rowOff>177165</xdr:rowOff>
    </xdr:to>
    <xdr:sp macro="" textlink="">
      <xdr:nvSpPr>
        <xdr:cNvPr id="322" name="RT_ARROW_3">
          <a:extLst>
            <a:ext uri="{FF2B5EF4-FFF2-40B4-BE49-F238E27FC236}">
              <a16:creationId xmlns:a16="http://schemas.microsoft.com/office/drawing/2014/main" id="{00000000-0008-0000-0200-000042010000}"/>
            </a:ext>
          </a:extLst>
        </xdr:cNvPr>
        <xdr:cNvSpPr/>
      </xdr:nvSpPr>
      <xdr:spPr>
        <a:xfrm>
          <a:off x="8334375" y="30108525"/>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14</xdr:col>
      <xdr:colOff>504825</xdr:colOff>
      <xdr:row>215</xdr:row>
      <xdr:rowOff>152400</xdr:rowOff>
    </xdr:from>
    <xdr:to>
      <xdr:col>19</xdr:col>
      <xdr:colOff>76200</xdr:colOff>
      <xdr:row>215</xdr:row>
      <xdr:rowOff>152400</xdr:rowOff>
    </xdr:to>
    <xdr:cxnSp macro="">
      <xdr:nvCxnSpPr>
        <xdr:cNvPr id="327" name="DOTTED_LINE">
          <a:extLst>
            <a:ext uri="{FF2B5EF4-FFF2-40B4-BE49-F238E27FC236}">
              <a16:creationId xmlns:a16="http://schemas.microsoft.com/office/drawing/2014/main" id="{00000000-0008-0000-0200-000047010000}"/>
            </a:ext>
          </a:extLst>
        </xdr:cNvPr>
        <xdr:cNvCxnSpPr/>
      </xdr:nvCxnSpPr>
      <xdr:spPr>
        <a:xfrm>
          <a:off x="11477625" y="53378100"/>
          <a:ext cx="20764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314325</xdr:colOff>
      <xdr:row>216</xdr:row>
      <xdr:rowOff>152400</xdr:rowOff>
    </xdr:from>
    <xdr:to>
      <xdr:col>19</xdr:col>
      <xdr:colOff>57150</xdr:colOff>
      <xdr:row>216</xdr:row>
      <xdr:rowOff>152400</xdr:rowOff>
    </xdr:to>
    <xdr:cxnSp macro="">
      <xdr:nvCxnSpPr>
        <xdr:cNvPr id="328" name="DOTTED_LINE">
          <a:extLst>
            <a:ext uri="{FF2B5EF4-FFF2-40B4-BE49-F238E27FC236}">
              <a16:creationId xmlns:a16="http://schemas.microsoft.com/office/drawing/2014/main" id="{00000000-0008-0000-0200-000048010000}"/>
            </a:ext>
          </a:extLst>
        </xdr:cNvPr>
        <xdr:cNvCxnSpPr/>
      </xdr:nvCxnSpPr>
      <xdr:spPr>
        <a:xfrm>
          <a:off x="11287125" y="53654325"/>
          <a:ext cx="22479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9527</xdr:colOff>
      <xdr:row>0</xdr:row>
      <xdr:rowOff>1173</xdr:rowOff>
    </xdr:from>
    <xdr:to>
      <xdr:col>24</xdr:col>
      <xdr:colOff>161924</xdr:colOff>
      <xdr:row>3</xdr:row>
      <xdr:rowOff>28575</xdr:rowOff>
    </xdr:to>
    <xdr:sp macro="" textlink="">
      <xdr:nvSpPr>
        <xdr:cNvPr id="153" name="HEADER_SHORTCUT_TOP">
          <a:hlinkClick xmlns:r="http://schemas.openxmlformats.org/officeDocument/2006/relationships" r:id="rId18" tooltip="Jump to top of Application"/>
          <a:extLst>
            <a:ext uri="{FF2B5EF4-FFF2-40B4-BE49-F238E27FC236}">
              <a16:creationId xmlns:a16="http://schemas.microsoft.com/office/drawing/2014/main" id="{00000000-0008-0000-0200-000099000000}"/>
            </a:ext>
          </a:extLst>
        </xdr:cNvPr>
        <xdr:cNvSpPr/>
      </xdr:nvSpPr>
      <xdr:spPr>
        <a:xfrm>
          <a:off x="9527" y="1173"/>
          <a:ext cx="7477122" cy="827502"/>
        </a:xfrm>
        <a:prstGeom prst="rect">
          <a:avLst/>
        </a:prstGeom>
        <a:solidFill>
          <a:schemeClr val="bg1">
            <a:alpha val="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700">
            <a:latin typeface="Arial" pitchFamily="34" charset="0"/>
            <a:cs typeface="Arial" pitchFamily="34" charset="0"/>
          </a:endParaRPr>
        </a:p>
      </xdr:txBody>
    </xdr:sp>
    <xdr:clientData fPrintsWithSheet="0"/>
  </xdr:twoCellAnchor>
  <xdr:twoCellAnchor>
    <xdr:from>
      <xdr:col>20</xdr:col>
      <xdr:colOff>247650</xdr:colOff>
      <xdr:row>132</xdr:row>
      <xdr:rowOff>152400</xdr:rowOff>
    </xdr:from>
    <xdr:to>
      <xdr:col>21</xdr:col>
      <xdr:colOff>133350</xdr:colOff>
      <xdr:row>132</xdr:row>
      <xdr:rowOff>152400</xdr:rowOff>
    </xdr:to>
    <xdr:cxnSp macro="">
      <xdr:nvCxnSpPr>
        <xdr:cNvPr id="329" name="DOTTED_LINE">
          <a:extLst>
            <a:ext uri="{FF2B5EF4-FFF2-40B4-BE49-F238E27FC236}">
              <a16:creationId xmlns:a16="http://schemas.microsoft.com/office/drawing/2014/main" id="{00000000-0008-0000-0200-000049010000}"/>
            </a:ext>
          </a:extLst>
        </xdr:cNvPr>
        <xdr:cNvCxnSpPr/>
      </xdr:nvCxnSpPr>
      <xdr:spPr>
        <a:xfrm>
          <a:off x="5781675" y="37137975"/>
          <a:ext cx="6000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134</xdr:row>
      <xdr:rowOff>152400</xdr:rowOff>
    </xdr:from>
    <xdr:to>
      <xdr:col>21</xdr:col>
      <xdr:colOff>133350</xdr:colOff>
      <xdr:row>134</xdr:row>
      <xdr:rowOff>152400</xdr:rowOff>
    </xdr:to>
    <xdr:cxnSp macro="">
      <xdr:nvCxnSpPr>
        <xdr:cNvPr id="330" name="DOTTED_LINE">
          <a:extLst>
            <a:ext uri="{FF2B5EF4-FFF2-40B4-BE49-F238E27FC236}">
              <a16:creationId xmlns:a16="http://schemas.microsoft.com/office/drawing/2014/main" id="{00000000-0008-0000-0200-00004A010000}"/>
            </a:ext>
          </a:extLst>
        </xdr:cNvPr>
        <xdr:cNvCxnSpPr/>
      </xdr:nvCxnSpPr>
      <xdr:spPr>
        <a:xfrm>
          <a:off x="6248400" y="37690425"/>
          <a:ext cx="1333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457200</xdr:colOff>
      <xdr:row>136</xdr:row>
      <xdr:rowOff>152400</xdr:rowOff>
    </xdr:from>
    <xdr:to>
      <xdr:col>21</xdr:col>
      <xdr:colOff>133350</xdr:colOff>
      <xdr:row>136</xdr:row>
      <xdr:rowOff>152400</xdr:rowOff>
    </xdr:to>
    <xdr:cxnSp macro="">
      <xdr:nvCxnSpPr>
        <xdr:cNvPr id="331" name="DOTTED_LINE">
          <a:extLst>
            <a:ext uri="{FF2B5EF4-FFF2-40B4-BE49-F238E27FC236}">
              <a16:creationId xmlns:a16="http://schemas.microsoft.com/office/drawing/2014/main" id="{00000000-0008-0000-0200-00004B010000}"/>
            </a:ext>
          </a:extLst>
        </xdr:cNvPr>
        <xdr:cNvCxnSpPr/>
      </xdr:nvCxnSpPr>
      <xdr:spPr>
        <a:xfrm>
          <a:off x="5991225" y="38242875"/>
          <a:ext cx="3905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57150</xdr:colOff>
      <xdr:row>140</xdr:row>
      <xdr:rowOff>95250</xdr:rowOff>
    </xdr:from>
    <xdr:to>
      <xdr:col>8</xdr:col>
      <xdr:colOff>148590</xdr:colOff>
      <xdr:row>140</xdr:row>
      <xdr:rowOff>186690</xdr:rowOff>
    </xdr:to>
    <xdr:sp macro="" textlink="">
      <xdr:nvSpPr>
        <xdr:cNvPr id="332" name="RT_ARROW_2">
          <a:extLst>
            <a:ext uri="{FF2B5EF4-FFF2-40B4-BE49-F238E27FC236}">
              <a16:creationId xmlns:a16="http://schemas.microsoft.com/office/drawing/2014/main" id="{00000000-0008-0000-0200-00004C010000}"/>
            </a:ext>
          </a:extLst>
        </xdr:cNvPr>
        <xdr:cNvSpPr/>
      </xdr:nvSpPr>
      <xdr:spPr>
        <a:xfrm>
          <a:off x="219075" y="39290625"/>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18</xdr:col>
      <xdr:colOff>342900</xdr:colOff>
      <xdr:row>138</xdr:row>
      <xdr:rowOff>152400</xdr:rowOff>
    </xdr:from>
    <xdr:to>
      <xdr:col>21</xdr:col>
      <xdr:colOff>133350</xdr:colOff>
      <xdr:row>138</xdr:row>
      <xdr:rowOff>152400</xdr:rowOff>
    </xdr:to>
    <xdr:cxnSp macro="">
      <xdr:nvCxnSpPr>
        <xdr:cNvPr id="333" name="DOTTED_LINE">
          <a:extLst>
            <a:ext uri="{FF2B5EF4-FFF2-40B4-BE49-F238E27FC236}">
              <a16:creationId xmlns:a16="http://schemas.microsoft.com/office/drawing/2014/main" id="{00000000-0008-0000-0200-00004D010000}"/>
            </a:ext>
          </a:extLst>
        </xdr:cNvPr>
        <xdr:cNvCxnSpPr/>
      </xdr:nvCxnSpPr>
      <xdr:spPr>
        <a:xfrm>
          <a:off x="4981575" y="38795325"/>
          <a:ext cx="14001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47625</xdr:colOff>
          <xdr:row>616</xdr:row>
          <xdr:rowOff>19050</xdr:rowOff>
        </xdr:from>
        <xdr:to>
          <xdr:col>22</xdr:col>
          <xdr:colOff>685800</xdr:colOff>
          <xdr:row>616</xdr:row>
          <xdr:rowOff>238125</xdr:rowOff>
        </xdr:to>
        <xdr:sp macro="" textlink="">
          <xdr:nvSpPr>
            <xdr:cNvPr id="23564" name="Option Button 12" hidden="1">
              <a:extLst>
                <a:ext uri="{63B3BB69-23CF-44E3-9099-C40C66FF867C}">
                  <a14:compatExt spid="_x0000_s23564"/>
                </a:ext>
                <a:ext uri="{FF2B5EF4-FFF2-40B4-BE49-F238E27FC236}">
                  <a16:creationId xmlns:a16="http://schemas.microsoft.com/office/drawing/2014/main" id="{00000000-0008-0000-0200-00000C5C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620</xdr:row>
          <xdr:rowOff>19050</xdr:rowOff>
        </xdr:from>
        <xdr:to>
          <xdr:col>22</xdr:col>
          <xdr:colOff>666750</xdr:colOff>
          <xdr:row>620</xdr:row>
          <xdr:rowOff>238125</xdr:rowOff>
        </xdr:to>
        <xdr:sp macro="" textlink="">
          <xdr:nvSpPr>
            <xdr:cNvPr id="23565" name="Option Button 13" hidden="1">
              <a:extLst>
                <a:ext uri="{63B3BB69-23CF-44E3-9099-C40C66FF867C}">
                  <a14:compatExt spid="_x0000_s23565"/>
                </a:ext>
                <a:ext uri="{FF2B5EF4-FFF2-40B4-BE49-F238E27FC236}">
                  <a16:creationId xmlns:a16="http://schemas.microsoft.com/office/drawing/2014/main" id="{00000000-0008-0000-0200-00000D5C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624</xdr:row>
          <xdr:rowOff>19050</xdr:rowOff>
        </xdr:from>
        <xdr:to>
          <xdr:col>22</xdr:col>
          <xdr:colOff>666750</xdr:colOff>
          <xdr:row>624</xdr:row>
          <xdr:rowOff>238125</xdr:rowOff>
        </xdr:to>
        <xdr:sp macro="" textlink="">
          <xdr:nvSpPr>
            <xdr:cNvPr id="23566" name="Option Button 14" hidden="1">
              <a:extLst>
                <a:ext uri="{63B3BB69-23CF-44E3-9099-C40C66FF867C}">
                  <a14:compatExt spid="_x0000_s23566"/>
                </a:ext>
                <a:ext uri="{FF2B5EF4-FFF2-40B4-BE49-F238E27FC236}">
                  <a16:creationId xmlns:a16="http://schemas.microsoft.com/office/drawing/2014/main" id="{00000000-0008-0000-0200-00000E5C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629</xdr:row>
          <xdr:rowOff>28575</xdr:rowOff>
        </xdr:from>
        <xdr:to>
          <xdr:col>22</xdr:col>
          <xdr:colOff>685800</xdr:colOff>
          <xdr:row>630</xdr:row>
          <xdr:rowOff>219075</xdr:rowOff>
        </xdr:to>
        <xdr:sp macro="" textlink="">
          <xdr:nvSpPr>
            <xdr:cNvPr id="23567" name="Option Button 15" hidden="1">
              <a:extLst>
                <a:ext uri="{63B3BB69-23CF-44E3-9099-C40C66FF867C}">
                  <a14:compatExt spid="_x0000_s23567"/>
                </a:ext>
                <a:ext uri="{FF2B5EF4-FFF2-40B4-BE49-F238E27FC236}">
                  <a16:creationId xmlns:a16="http://schemas.microsoft.com/office/drawing/2014/main" id="{00000000-0008-0000-0200-00000F5C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633</xdr:row>
          <xdr:rowOff>19050</xdr:rowOff>
        </xdr:from>
        <xdr:to>
          <xdr:col>22</xdr:col>
          <xdr:colOff>695325</xdr:colOff>
          <xdr:row>633</xdr:row>
          <xdr:rowOff>257175</xdr:rowOff>
        </xdr:to>
        <xdr:sp macro="" textlink="">
          <xdr:nvSpPr>
            <xdr:cNvPr id="23606" name="Option Button 54" hidden="1">
              <a:extLst>
                <a:ext uri="{63B3BB69-23CF-44E3-9099-C40C66FF867C}">
                  <a14:compatExt spid="_x0000_s23606"/>
                </a:ext>
                <a:ext uri="{FF2B5EF4-FFF2-40B4-BE49-F238E27FC236}">
                  <a16:creationId xmlns:a16="http://schemas.microsoft.com/office/drawing/2014/main" id="{00000000-0008-0000-0200-0000365C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704</xdr:row>
          <xdr:rowOff>19050</xdr:rowOff>
        </xdr:from>
        <xdr:to>
          <xdr:col>22</xdr:col>
          <xdr:colOff>685800</xdr:colOff>
          <xdr:row>704</xdr:row>
          <xdr:rowOff>238125</xdr:rowOff>
        </xdr:to>
        <xdr:sp macro="" textlink="">
          <xdr:nvSpPr>
            <xdr:cNvPr id="23617" name="Option Button 65" hidden="1">
              <a:extLst>
                <a:ext uri="{63B3BB69-23CF-44E3-9099-C40C66FF867C}">
                  <a14:compatExt spid="_x0000_s23617"/>
                </a:ext>
                <a:ext uri="{FF2B5EF4-FFF2-40B4-BE49-F238E27FC236}">
                  <a16:creationId xmlns:a16="http://schemas.microsoft.com/office/drawing/2014/main" id="{00000000-0008-0000-0200-0000415C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16</xdr:col>
      <xdr:colOff>342900</xdr:colOff>
      <xdr:row>260</xdr:row>
      <xdr:rowOff>219075</xdr:rowOff>
    </xdr:from>
    <xdr:to>
      <xdr:col>22</xdr:col>
      <xdr:colOff>504825</xdr:colOff>
      <xdr:row>261</xdr:row>
      <xdr:rowOff>228600</xdr:rowOff>
    </xdr:to>
    <xdr:sp macro="" textlink="">
      <xdr:nvSpPr>
        <xdr:cNvPr id="334" name="Rectangle 333">
          <a:hlinkClick xmlns:r="http://schemas.openxmlformats.org/officeDocument/2006/relationships" r:id="rId25"/>
          <a:extLst>
            <a:ext uri="{FF2B5EF4-FFF2-40B4-BE49-F238E27FC236}">
              <a16:creationId xmlns:a16="http://schemas.microsoft.com/office/drawing/2014/main" id="{00000000-0008-0000-0200-00004E010000}"/>
            </a:ext>
          </a:extLst>
        </xdr:cNvPr>
        <xdr:cNvSpPr/>
      </xdr:nvSpPr>
      <xdr:spPr>
        <a:xfrm>
          <a:off x="12211050" y="70323075"/>
          <a:ext cx="2847975"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xdr:from>
      <xdr:col>15</xdr:col>
      <xdr:colOff>161925</xdr:colOff>
      <xdr:row>262</xdr:row>
      <xdr:rowOff>152400</xdr:rowOff>
    </xdr:from>
    <xdr:to>
      <xdr:col>21</xdr:col>
      <xdr:colOff>133350</xdr:colOff>
      <xdr:row>262</xdr:row>
      <xdr:rowOff>152400</xdr:rowOff>
    </xdr:to>
    <xdr:cxnSp macro="">
      <xdr:nvCxnSpPr>
        <xdr:cNvPr id="335" name="DOTTED_LINE">
          <a:extLst>
            <a:ext uri="{FF2B5EF4-FFF2-40B4-BE49-F238E27FC236}">
              <a16:creationId xmlns:a16="http://schemas.microsoft.com/office/drawing/2014/main" id="{00000000-0008-0000-0200-00004F010000}"/>
            </a:ext>
          </a:extLst>
        </xdr:cNvPr>
        <xdr:cNvCxnSpPr/>
      </xdr:nvCxnSpPr>
      <xdr:spPr>
        <a:xfrm>
          <a:off x="11849100" y="70808850"/>
          <a:ext cx="26574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19050</xdr:colOff>
      <xdr:row>270</xdr:row>
      <xdr:rowOff>152400</xdr:rowOff>
    </xdr:from>
    <xdr:to>
      <xdr:col>21</xdr:col>
      <xdr:colOff>133350</xdr:colOff>
      <xdr:row>270</xdr:row>
      <xdr:rowOff>152400</xdr:rowOff>
    </xdr:to>
    <xdr:cxnSp macro="">
      <xdr:nvCxnSpPr>
        <xdr:cNvPr id="336" name="DOTTED_LINE">
          <a:extLst>
            <a:ext uri="{FF2B5EF4-FFF2-40B4-BE49-F238E27FC236}">
              <a16:creationId xmlns:a16="http://schemas.microsoft.com/office/drawing/2014/main" id="{00000000-0008-0000-0200-000050010000}"/>
            </a:ext>
          </a:extLst>
        </xdr:cNvPr>
        <xdr:cNvCxnSpPr/>
      </xdr:nvCxnSpPr>
      <xdr:spPr>
        <a:xfrm>
          <a:off x="11706225" y="73018650"/>
          <a:ext cx="28003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57150</xdr:colOff>
      <xdr:row>262</xdr:row>
      <xdr:rowOff>95250</xdr:rowOff>
    </xdr:from>
    <xdr:to>
      <xdr:col>8</xdr:col>
      <xdr:colOff>148590</xdr:colOff>
      <xdr:row>262</xdr:row>
      <xdr:rowOff>186690</xdr:rowOff>
    </xdr:to>
    <xdr:sp macro="" textlink="">
      <xdr:nvSpPr>
        <xdr:cNvPr id="337" name="RT_ARROW_2">
          <a:extLst>
            <a:ext uri="{FF2B5EF4-FFF2-40B4-BE49-F238E27FC236}">
              <a16:creationId xmlns:a16="http://schemas.microsoft.com/office/drawing/2014/main" id="{00000000-0008-0000-0200-000051010000}"/>
            </a:ext>
          </a:extLst>
        </xdr:cNvPr>
        <xdr:cNvSpPr/>
      </xdr:nvSpPr>
      <xdr:spPr>
        <a:xfrm>
          <a:off x="8343900" y="70751700"/>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8</xdr:col>
      <xdr:colOff>57150</xdr:colOff>
      <xdr:row>270</xdr:row>
      <xdr:rowOff>104775</xdr:rowOff>
    </xdr:from>
    <xdr:to>
      <xdr:col>8</xdr:col>
      <xdr:colOff>148590</xdr:colOff>
      <xdr:row>270</xdr:row>
      <xdr:rowOff>196215</xdr:rowOff>
    </xdr:to>
    <xdr:sp macro="" textlink="">
      <xdr:nvSpPr>
        <xdr:cNvPr id="338" name="RT_ARROW_2">
          <a:extLst>
            <a:ext uri="{FF2B5EF4-FFF2-40B4-BE49-F238E27FC236}">
              <a16:creationId xmlns:a16="http://schemas.microsoft.com/office/drawing/2014/main" id="{00000000-0008-0000-0200-000052010000}"/>
            </a:ext>
          </a:extLst>
        </xdr:cNvPr>
        <xdr:cNvSpPr/>
      </xdr:nvSpPr>
      <xdr:spPr>
        <a:xfrm>
          <a:off x="8343900" y="72971025"/>
          <a:ext cx="91440" cy="9144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xdr:twoCellAnchor>
  <xdr:twoCellAnchor>
    <xdr:from>
      <xdr:col>7</xdr:col>
      <xdr:colOff>66675</xdr:colOff>
      <xdr:row>494</xdr:row>
      <xdr:rowOff>238125</xdr:rowOff>
    </xdr:from>
    <xdr:to>
      <xdr:col>24</xdr:col>
      <xdr:colOff>114300</xdr:colOff>
      <xdr:row>516</xdr:row>
      <xdr:rowOff>95252</xdr:rowOff>
    </xdr:to>
    <xdr:grpSp>
      <xdr:nvGrpSpPr>
        <xdr:cNvPr id="177" name="Group 176">
          <a:extLst>
            <a:ext uri="{FF2B5EF4-FFF2-40B4-BE49-F238E27FC236}">
              <a16:creationId xmlns:a16="http://schemas.microsoft.com/office/drawing/2014/main" id="{00000000-0008-0000-0200-0000B1000000}"/>
            </a:ext>
          </a:extLst>
        </xdr:cNvPr>
        <xdr:cNvGrpSpPr/>
      </xdr:nvGrpSpPr>
      <xdr:grpSpPr>
        <a:xfrm>
          <a:off x="66675" y="145894425"/>
          <a:ext cx="7372350" cy="12944477"/>
          <a:chOff x="8191500" y="141751050"/>
          <a:chExt cx="7372350" cy="12944477"/>
        </a:xfrm>
      </xdr:grpSpPr>
      <xdr:grpSp>
        <xdr:nvGrpSpPr>
          <xdr:cNvPr id="31" name="SECTION_GROUP">
            <a:extLst>
              <a:ext uri="{FF2B5EF4-FFF2-40B4-BE49-F238E27FC236}">
                <a16:creationId xmlns:a16="http://schemas.microsoft.com/office/drawing/2014/main" id="{00000000-0008-0000-0200-00001F000000}"/>
              </a:ext>
            </a:extLst>
          </xdr:cNvPr>
          <xdr:cNvGrpSpPr/>
        </xdr:nvGrpSpPr>
        <xdr:grpSpPr>
          <a:xfrm>
            <a:off x="8191500" y="141751050"/>
            <a:ext cx="7362824" cy="12944477"/>
            <a:chOff x="9363075" y="17306808"/>
            <a:chExt cx="7362825" cy="13933748"/>
          </a:xfrm>
        </xdr:grpSpPr>
        <xdr:sp macro="" textlink="">
          <xdr:nvSpPr>
            <xdr:cNvPr id="32" name="SECTION_GROUP_FRAME">
              <a:extLst>
                <a:ext uri="{FF2B5EF4-FFF2-40B4-BE49-F238E27FC236}">
                  <a16:creationId xmlns:a16="http://schemas.microsoft.com/office/drawing/2014/main" id="{00000000-0008-0000-0200-000020000000}"/>
                </a:ext>
              </a:extLst>
            </xdr:cNvPr>
            <xdr:cNvSpPr/>
          </xdr:nvSpPr>
          <xdr:spPr>
            <a:xfrm>
              <a:off x="9363075" y="17641463"/>
              <a:ext cx="7362825" cy="13599093"/>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366">
          <xdr:nvSpPr>
            <xdr:cNvPr id="33" name="SECTION_GROUP_TITLE">
              <a:extLst>
                <a:ext uri="{FF2B5EF4-FFF2-40B4-BE49-F238E27FC236}">
                  <a16:creationId xmlns:a16="http://schemas.microsoft.com/office/drawing/2014/main" id="{00000000-0008-0000-0200-000021000000}"/>
                </a:ext>
              </a:extLst>
            </xdr:cNvPr>
            <xdr:cNvSpPr/>
          </xdr:nvSpPr>
          <xdr:spPr>
            <a:xfrm>
              <a:off x="9363075" y="17306808"/>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D51F6ED8-0E5F-4605-B17E-FD584CECF7E1}" type="TxLink">
                <a:rPr lang="en-US" sz="1000" b="1" i="0" u="none" strike="noStrike">
                  <a:solidFill>
                    <a:srgbClr val="FFFFFF"/>
                  </a:solidFill>
                  <a:latin typeface="Arial" pitchFamily="34" charset="0"/>
                  <a:cs typeface="Arial" pitchFamily="34" charset="0"/>
                </a:rPr>
                <a:pPr algn="l"/>
                <a:t>Housing for Homeless Households (Maximum Points: 6)</a:t>
              </a:fld>
              <a:endParaRPr lang="en-US" sz="1000" b="1" i="0" u="none" strike="noStrike">
                <a:solidFill>
                  <a:schemeClr val="bg1"/>
                </a:solidFill>
                <a:latin typeface="Arial" pitchFamily="34" charset="0"/>
                <a:cs typeface="Arial" pitchFamily="34" charset="0"/>
              </a:endParaRPr>
            </a:p>
          </xdr:txBody>
        </xdr:sp>
        <xdr:sp macro="" textlink="$B$376">
          <xdr:nvSpPr>
            <xdr:cNvPr id="34" name="SECTION_GROUP_SUBTITLE">
              <a:extLst>
                <a:ext uri="{FF2B5EF4-FFF2-40B4-BE49-F238E27FC236}">
                  <a16:creationId xmlns:a16="http://schemas.microsoft.com/office/drawing/2014/main" id="{00000000-0008-0000-0200-00002200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032C1DF6-5410-4C67-BDB0-4596E27475F5}" type="TxLink">
                <a:rPr lang="en-US" sz="800" b="0" i="0" u="none" strike="noStrike">
                  <a:solidFill>
                    <a:srgbClr val="000000"/>
                  </a:solidFill>
                  <a:latin typeface="Arial" pitchFamily="34" charset="0"/>
                  <a:cs typeface="Arial" pitchFamily="34" charset="0"/>
                </a:rPr>
                <a:pPr algn="r"/>
                <a:t>Not Started</a:t>
              </a:fld>
              <a:endParaRPr lang="en-US" sz="1050" b="0" i="0">
                <a:latin typeface="Arial" pitchFamily="34" charset="0"/>
                <a:cs typeface="Arial" pitchFamily="34" charset="0"/>
              </a:endParaRPr>
            </a:p>
          </xdr:txBody>
        </xdr:sp>
        <xdr:sp macro="" textlink="">
          <xdr:nvSpPr>
            <xdr:cNvPr id="35" name="SECTION_GROUP_SUBTITLE_LABEL">
              <a:extLst>
                <a:ext uri="{FF2B5EF4-FFF2-40B4-BE49-F238E27FC236}">
                  <a16:creationId xmlns:a16="http://schemas.microsoft.com/office/drawing/2014/main" id="{00000000-0008-0000-0200-000023000000}"/>
                </a:ext>
              </a:extLst>
            </xdr:cNvPr>
            <xdr:cNvSpPr txBox="1"/>
          </xdr:nvSpPr>
          <xdr:spPr>
            <a:xfrm>
              <a:off x="15640051"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sp macro="" textlink="">
        <xdr:nvSpPr>
          <xdr:cNvPr id="230" name="LINK_RENTAL_TOC">
            <a:hlinkClick xmlns:r="http://schemas.openxmlformats.org/officeDocument/2006/relationships" r:id="rId18"/>
            <a:extLst>
              <a:ext uri="{FF2B5EF4-FFF2-40B4-BE49-F238E27FC236}">
                <a16:creationId xmlns:a16="http://schemas.microsoft.com/office/drawing/2014/main" id="{00000000-0008-0000-0200-0000E6000000}"/>
              </a:ext>
            </a:extLst>
          </xdr:cNvPr>
          <xdr:cNvSpPr/>
        </xdr:nvSpPr>
        <xdr:spPr>
          <a:xfrm>
            <a:off x="14535150" y="14177010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grpSp>
    <xdr:clientData fPrintsWithSheet="0"/>
  </xdr:twoCellAnchor>
  <xdr:twoCellAnchor>
    <xdr:from>
      <xdr:col>7</xdr:col>
      <xdr:colOff>66675</xdr:colOff>
      <xdr:row>548</xdr:row>
      <xdr:rowOff>238125</xdr:rowOff>
    </xdr:from>
    <xdr:to>
      <xdr:col>24</xdr:col>
      <xdr:colOff>114300</xdr:colOff>
      <xdr:row>603</xdr:row>
      <xdr:rowOff>57151</xdr:rowOff>
    </xdr:to>
    <xdr:grpSp>
      <xdr:nvGrpSpPr>
        <xdr:cNvPr id="176" name="Group 175">
          <a:extLst>
            <a:ext uri="{FF2B5EF4-FFF2-40B4-BE49-F238E27FC236}">
              <a16:creationId xmlns:a16="http://schemas.microsoft.com/office/drawing/2014/main" id="{00000000-0008-0000-0200-0000B0000000}"/>
            </a:ext>
          </a:extLst>
        </xdr:cNvPr>
        <xdr:cNvGrpSpPr/>
      </xdr:nvGrpSpPr>
      <xdr:grpSpPr>
        <a:xfrm>
          <a:off x="66675" y="167820975"/>
          <a:ext cx="7372350" cy="15011401"/>
          <a:chOff x="8191500" y="154838400"/>
          <a:chExt cx="7372350" cy="15011401"/>
        </a:xfrm>
      </xdr:grpSpPr>
      <xdr:grpSp>
        <xdr:nvGrpSpPr>
          <xdr:cNvPr id="26" name="SECTION_GROUP">
            <a:extLst>
              <a:ext uri="{FF2B5EF4-FFF2-40B4-BE49-F238E27FC236}">
                <a16:creationId xmlns:a16="http://schemas.microsoft.com/office/drawing/2014/main" id="{00000000-0008-0000-0200-00001A000000}"/>
              </a:ext>
            </a:extLst>
          </xdr:cNvPr>
          <xdr:cNvGrpSpPr/>
        </xdr:nvGrpSpPr>
        <xdr:grpSpPr>
          <a:xfrm>
            <a:off x="8191500" y="154838400"/>
            <a:ext cx="7362824" cy="15011401"/>
            <a:chOff x="9363075" y="17306808"/>
            <a:chExt cx="7362825" cy="16158635"/>
          </a:xfrm>
        </xdr:grpSpPr>
        <xdr:sp macro="" textlink="$B$385">
          <xdr:nvSpPr>
            <xdr:cNvPr id="27" name="SECTION_GROUP_TITLE">
              <a:extLst>
                <a:ext uri="{FF2B5EF4-FFF2-40B4-BE49-F238E27FC236}">
                  <a16:creationId xmlns:a16="http://schemas.microsoft.com/office/drawing/2014/main" id="{00000000-0008-0000-0200-00001B000000}"/>
                </a:ext>
              </a:extLst>
            </xdr:cNvPr>
            <xdr:cNvSpPr/>
          </xdr:nvSpPr>
          <xdr:spPr>
            <a:xfrm>
              <a:off x="9363075" y="17306808"/>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C0E1800C-500D-4660-BF61-112796D40DB1}" type="TxLink">
                <a:rPr lang="en-US" sz="1000" b="1" i="0" u="none" strike="noStrike">
                  <a:solidFill>
                    <a:srgbClr val="FFFFFF"/>
                  </a:solidFill>
                  <a:latin typeface="Arial" pitchFamily="34" charset="0"/>
                  <a:cs typeface="Arial" pitchFamily="34" charset="0"/>
                </a:rPr>
                <a:pPr algn="l"/>
                <a:t>Promotion of Empowerment (Maximum Points: 5)</a:t>
              </a:fld>
              <a:endParaRPr lang="en-US" sz="1000" b="1" i="0" u="none" strike="noStrike">
                <a:solidFill>
                  <a:schemeClr val="bg1"/>
                </a:solidFill>
                <a:latin typeface="Arial" pitchFamily="34" charset="0"/>
                <a:cs typeface="Arial" pitchFamily="34" charset="0"/>
              </a:endParaRPr>
            </a:p>
          </xdr:txBody>
        </xdr:sp>
        <xdr:sp macro="" textlink="">
          <xdr:nvSpPr>
            <xdr:cNvPr id="28" name="SECTION_GROUP_FRAME">
              <a:extLst>
                <a:ext uri="{FF2B5EF4-FFF2-40B4-BE49-F238E27FC236}">
                  <a16:creationId xmlns:a16="http://schemas.microsoft.com/office/drawing/2014/main" id="{00000000-0008-0000-0200-00001C000000}"/>
                </a:ext>
              </a:extLst>
            </xdr:cNvPr>
            <xdr:cNvSpPr/>
          </xdr:nvSpPr>
          <xdr:spPr>
            <a:xfrm>
              <a:off x="9363075" y="17641463"/>
              <a:ext cx="7362825" cy="15823980"/>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398">
          <xdr:nvSpPr>
            <xdr:cNvPr id="29" name="SECTION_GROUP_SUBTITLE">
              <a:extLst>
                <a:ext uri="{FF2B5EF4-FFF2-40B4-BE49-F238E27FC236}">
                  <a16:creationId xmlns:a16="http://schemas.microsoft.com/office/drawing/2014/main" id="{00000000-0008-0000-0200-00001D00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6371053E-13B3-43DC-AD9A-468BBB81391A}" type="TxLink">
                <a:rPr lang="en-US" sz="800" b="0" i="0" u="none" strike="noStrike">
                  <a:solidFill>
                    <a:srgbClr val="000000"/>
                  </a:solidFill>
                  <a:latin typeface="Arial" pitchFamily="34" charset="0"/>
                  <a:cs typeface="Arial" pitchFamily="34" charset="0"/>
                </a:rPr>
                <a:pPr algn="r"/>
                <a:t>Not Started</a:t>
              </a:fld>
              <a:endParaRPr lang="en-US" sz="800" b="0" i="0" u="none" strike="noStrike">
                <a:solidFill>
                  <a:srgbClr val="000000"/>
                </a:solidFill>
                <a:latin typeface="Arial" pitchFamily="34" charset="0"/>
                <a:cs typeface="Arial" pitchFamily="34" charset="0"/>
              </a:endParaRPr>
            </a:p>
          </xdr:txBody>
        </xdr:sp>
        <xdr:sp macro="" textlink="">
          <xdr:nvSpPr>
            <xdr:cNvPr id="30" name="SECTION_GROUP_SUBTITLE_LABEL">
              <a:extLst>
                <a:ext uri="{FF2B5EF4-FFF2-40B4-BE49-F238E27FC236}">
                  <a16:creationId xmlns:a16="http://schemas.microsoft.com/office/drawing/2014/main" id="{00000000-0008-0000-0200-00001E000000}"/>
                </a:ext>
              </a:extLst>
            </xdr:cNvPr>
            <xdr:cNvSpPr txBox="1"/>
          </xdr:nvSpPr>
          <xdr:spPr>
            <a:xfrm>
              <a:off x="15640051"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sp macro="" textlink="">
        <xdr:nvSpPr>
          <xdr:cNvPr id="233" name="LINK_RENTAL_TOC">
            <a:hlinkClick xmlns:r="http://schemas.openxmlformats.org/officeDocument/2006/relationships" r:id="rId18"/>
            <a:extLst>
              <a:ext uri="{FF2B5EF4-FFF2-40B4-BE49-F238E27FC236}">
                <a16:creationId xmlns:a16="http://schemas.microsoft.com/office/drawing/2014/main" id="{00000000-0008-0000-0200-0000E9000000}"/>
              </a:ext>
            </a:extLst>
          </xdr:cNvPr>
          <xdr:cNvSpPr/>
        </xdr:nvSpPr>
        <xdr:spPr>
          <a:xfrm>
            <a:off x="14535150" y="15484792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grpSp>
    <xdr:clientData fPrintsWithSheet="0"/>
  </xdr:twoCellAnchor>
  <xdr:twoCellAnchor>
    <xdr:from>
      <xdr:col>7</xdr:col>
      <xdr:colOff>66675</xdr:colOff>
      <xdr:row>516</xdr:row>
      <xdr:rowOff>247642</xdr:rowOff>
    </xdr:from>
    <xdr:to>
      <xdr:col>24</xdr:col>
      <xdr:colOff>104774</xdr:colOff>
      <xdr:row>531</xdr:row>
      <xdr:rowOff>104766</xdr:rowOff>
    </xdr:to>
    <xdr:grpSp>
      <xdr:nvGrpSpPr>
        <xdr:cNvPr id="165" name="Group 164">
          <a:extLst>
            <a:ext uri="{FF2B5EF4-FFF2-40B4-BE49-F238E27FC236}">
              <a16:creationId xmlns:a16="http://schemas.microsoft.com/office/drawing/2014/main" id="{00000000-0008-0000-0200-0000A5000000}"/>
            </a:ext>
          </a:extLst>
        </xdr:cNvPr>
        <xdr:cNvGrpSpPr/>
      </xdr:nvGrpSpPr>
      <xdr:grpSpPr>
        <a:xfrm>
          <a:off x="66675" y="158991292"/>
          <a:ext cx="7362824" cy="4000499"/>
          <a:chOff x="8191500" y="170040300"/>
          <a:chExt cx="7362824" cy="4029628"/>
        </a:xfrm>
      </xdr:grpSpPr>
      <xdr:grpSp>
        <xdr:nvGrpSpPr>
          <xdr:cNvPr id="21" name="SECTION_GROUP">
            <a:extLst>
              <a:ext uri="{FF2B5EF4-FFF2-40B4-BE49-F238E27FC236}">
                <a16:creationId xmlns:a16="http://schemas.microsoft.com/office/drawing/2014/main" id="{00000000-0008-0000-0200-000015000000}"/>
              </a:ext>
            </a:extLst>
          </xdr:cNvPr>
          <xdr:cNvGrpSpPr/>
        </xdr:nvGrpSpPr>
        <xdr:grpSpPr>
          <a:xfrm>
            <a:off x="8191500" y="170040300"/>
            <a:ext cx="7362824" cy="4029628"/>
            <a:chOff x="9363075" y="17306808"/>
            <a:chExt cx="7362825" cy="4337589"/>
          </a:xfrm>
        </xdr:grpSpPr>
        <xdr:sp macro="" textlink="$B$407">
          <xdr:nvSpPr>
            <xdr:cNvPr id="22" name="SECTION_GROUP_TITLE">
              <a:extLst>
                <a:ext uri="{FF2B5EF4-FFF2-40B4-BE49-F238E27FC236}">
                  <a16:creationId xmlns:a16="http://schemas.microsoft.com/office/drawing/2014/main" id="{00000000-0008-0000-0200-000016000000}"/>
                </a:ext>
              </a:extLst>
            </xdr:cNvPr>
            <xdr:cNvSpPr/>
          </xdr:nvSpPr>
          <xdr:spPr>
            <a:xfrm>
              <a:off x="9363075" y="17306808"/>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D8E51200-0710-45DF-8A28-532859342638}" type="TxLink">
                <a:rPr lang="en-US" sz="1000" b="1" i="0" u="none" strike="noStrike">
                  <a:solidFill>
                    <a:srgbClr val="FFFFFF"/>
                  </a:solidFill>
                  <a:latin typeface="Arial" pitchFamily="34" charset="0"/>
                  <a:cs typeface="Arial" pitchFamily="34" charset="0"/>
                </a:rPr>
                <a:pPr algn="l"/>
                <a:t>Housing for Special Needs Populations (Maximum Points: 5)</a:t>
              </a:fld>
              <a:endParaRPr lang="en-US" sz="1000" b="1" i="0" u="none" strike="noStrike">
                <a:solidFill>
                  <a:schemeClr val="bg1"/>
                </a:solidFill>
                <a:latin typeface="Arial" pitchFamily="34" charset="0"/>
                <a:cs typeface="Arial" pitchFamily="34" charset="0"/>
              </a:endParaRPr>
            </a:p>
          </xdr:txBody>
        </xdr:sp>
        <xdr:sp macro="" textlink="">
          <xdr:nvSpPr>
            <xdr:cNvPr id="23" name="SECTION_GROUP_FRAME">
              <a:extLst>
                <a:ext uri="{FF2B5EF4-FFF2-40B4-BE49-F238E27FC236}">
                  <a16:creationId xmlns:a16="http://schemas.microsoft.com/office/drawing/2014/main" id="{00000000-0008-0000-0200-000017000000}"/>
                </a:ext>
              </a:extLst>
            </xdr:cNvPr>
            <xdr:cNvSpPr/>
          </xdr:nvSpPr>
          <xdr:spPr>
            <a:xfrm>
              <a:off x="9363075" y="17641463"/>
              <a:ext cx="7362825" cy="4002934"/>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419">
          <xdr:nvSpPr>
            <xdr:cNvPr id="24" name="SECTION_GROUP_SUBTITLE">
              <a:extLst>
                <a:ext uri="{FF2B5EF4-FFF2-40B4-BE49-F238E27FC236}">
                  <a16:creationId xmlns:a16="http://schemas.microsoft.com/office/drawing/2014/main" id="{00000000-0008-0000-0200-00001800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F65A8C33-5590-4F05-87D6-5A5934F367A5}" type="TxLink">
                <a:rPr lang="en-US" sz="800" b="0" i="0" u="none" strike="noStrike">
                  <a:solidFill>
                    <a:srgbClr val="000000"/>
                  </a:solidFill>
                  <a:latin typeface="Arial" pitchFamily="34" charset="0"/>
                  <a:cs typeface="Arial" pitchFamily="34" charset="0"/>
                </a:rPr>
                <a:pPr algn="r"/>
                <a:t>Not Started</a:t>
              </a:fld>
              <a:endParaRPr lang="en-US" sz="1050" b="0" i="0">
                <a:latin typeface="Arial" pitchFamily="34" charset="0"/>
                <a:cs typeface="Arial" pitchFamily="34" charset="0"/>
              </a:endParaRPr>
            </a:p>
          </xdr:txBody>
        </xdr:sp>
        <xdr:sp macro="" textlink="">
          <xdr:nvSpPr>
            <xdr:cNvPr id="25" name="SECTION_GROUP_SUBTITLE_LABEL">
              <a:extLst>
                <a:ext uri="{FF2B5EF4-FFF2-40B4-BE49-F238E27FC236}">
                  <a16:creationId xmlns:a16="http://schemas.microsoft.com/office/drawing/2014/main" id="{00000000-0008-0000-0200-000019000000}"/>
                </a:ext>
              </a:extLst>
            </xdr:cNvPr>
            <xdr:cNvSpPr txBox="1"/>
          </xdr:nvSpPr>
          <xdr:spPr>
            <a:xfrm>
              <a:off x="15630526"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sp macro="" textlink="">
        <xdr:nvSpPr>
          <xdr:cNvPr id="241" name="LINK_RENTAL_TOC">
            <a:hlinkClick xmlns:r="http://schemas.openxmlformats.org/officeDocument/2006/relationships" r:id="rId18"/>
            <a:extLst>
              <a:ext uri="{FF2B5EF4-FFF2-40B4-BE49-F238E27FC236}">
                <a16:creationId xmlns:a16="http://schemas.microsoft.com/office/drawing/2014/main" id="{00000000-0008-0000-0200-0000F1000000}"/>
              </a:ext>
            </a:extLst>
          </xdr:cNvPr>
          <xdr:cNvSpPr/>
        </xdr:nvSpPr>
        <xdr:spPr>
          <a:xfrm>
            <a:off x="14516100" y="17004982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grpSp>
    <xdr:clientData fPrintsWithSheet="0"/>
  </xdr:twoCellAnchor>
  <xdr:twoCellAnchor>
    <xdr:from>
      <xdr:col>7</xdr:col>
      <xdr:colOff>66675</xdr:colOff>
      <xdr:row>531</xdr:row>
      <xdr:rowOff>238130</xdr:rowOff>
    </xdr:from>
    <xdr:to>
      <xdr:col>24</xdr:col>
      <xdr:colOff>104774</xdr:colOff>
      <xdr:row>539</xdr:row>
      <xdr:rowOff>104777</xdr:rowOff>
    </xdr:to>
    <xdr:grpSp>
      <xdr:nvGrpSpPr>
        <xdr:cNvPr id="157" name="Group 156">
          <a:extLst>
            <a:ext uri="{FF2B5EF4-FFF2-40B4-BE49-F238E27FC236}">
              <a16:creationId xmlns:a16="http://schemas.microsoft.com/office/drawing/2014/main" id="{00000000-0008-0000-0200-00009D000000}"/>
            </a:ext>
          </a:extLst>
        </xdr:cNvPr>
        <xdr:cNvGrpSpPr/>
      </xdr:nvGrpSpPr>
      <xdr:grpSpPr>
        <a:xfrm>
          <a:off x="66675" y="163125155"/>
          <a:ext cx="7362824" cy="2076447"/>
          <a:chOff x="8191500" y="174174155"/>
          <a:chExt cx="7362824" cy="2076447"/>
        </a:xfrm>
      </xdr:grpSpPr>
      <xdr:grpSp>
        <xdr:nvGrpSpPr>
          <xdr:cNvPr id="339" name="SECTION_GROUP">
            <a:extLst>
              <a:ext uri="{FF2B5EF4-FFF2-40B4-BE49-F238E27FC236}">
                <a16:creationId xmlns:a16="http://schemas.microsoft.com/office/drawing/2014/main" id="{00000000-0008-0000-0200-000053010000}"/>
              </a:ext>
            </a:extLst>
          </xdr:cNvPr>
          <xdr:cNvGrpSpPr/>
        </xdr:nvGrpSpPr>
        <xdr:grpSpPr>
          <a:xfrm>
            <a:off x="8191500" y="174174155"/>
            <a:ext cx="7362824" cy="2076447"/>
            <a:chOff x="9363075" y="17306808"/>
            <a:chExt cx="7362825" cy="2235137"/>
          </a:xfrm>
        </xdr:grpSpPr>
        <xdr:sp macro="" textlink="$B$548">
          <xdr:nvSpPr>
            <xdr:cNvPr id="340" name="SECTION_GROUP_TITLE">
              <a:extLst>
                <a:ext uri="{FF2B5EF4-FFF2-40B4-BE49-F238E27FC236}">
                  <a16:creationId xmlns:a16="http://schemas.microsoft.com/office/drawing/2014/main" id="{00000000-0008-0000-0200-000054010000}"/>
                </a:ext>
              </a:extLst>
            </xdr:cNvPr>
            <xdr:cNvSpPr/>
          </xdr:nvSpPr>
          <xdr:spPr>
            <a:xfrm>
              <a:off x="9363075" y="17306808"/>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83C01BBA-0DF0-484C-9B29-01491ABAF567}" type="TxLink">
                <a:rPr lang="en-US" sz="1000" b="1" i="0" u="none" strike="noStrike">
                  <a:solidFill>
                    <a:srgbClr val="FFFFFF"/>
                  </a:solidFill>
                  <a:latin typeface="Arial"/>
                  <a:cs typeface="Arial"/>
                </a:rPr>
                <a:pPr algn="l"/>
                <a:t>Housing for Households Requiring Large Units (Maximum Points: 3)</a:t>
              </a:fld>
              <a:endParaRPr lang="en-US" sz="1000" b="1" i="0" u="none" strike="noStrike">
                <a:solidFill>
                  <a:schemeClr val="bg1"/>
                </a:solidFill>
                <a:latin typeface="Arial" pitchFamily="34" charset="0"/>
                <a:cs typeface="Arial" pitchFamily="34" charset="0"/>
              </a:endParaRPr>
            </a:p>
          </xdr:txBody>
        </xdr:sp>
        <xdr:sp macro="" textlink="">
          <xdr:nvSpPr>
            <xdr:cNvPr id="341" name="SECTION_GROUP_FRAME">
              <a:extLst>
                <a:ext uri="{FF2B5EF4-FFF2-40B4-BE49-F238E27FC236}">
                  <a16:creationId xmlns:a16="http://schemas.microsoft.com/office/drawing/2014/main" id="{00000000-0008-0000-0200-000055010000}"/>
                </a:ext>
              </a:extLst>
            </xdr:cNvPr>
            <xdr:cNvSpPr/>
          </xdr:nvSpPr>
          <xdr:spPr>
            <a:xfrm>
              <a:off x="9363075" y="17641464"/>
              <a:ext cx="7362825" cy="1900481"/>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555">
          <xdr:nvSpPr>
            <xdr:cNvPr id="342" name="SECTION_GROUP_SUBTITLE">
              <a:extLst>
                <a:ext uri="{FF2B5EF4-FFF2-40B4-BE49-F238E27FC236}">
                  <a16:creationId xmlns:a16="http://schemas.microsoft.com/office/drawing/2014/main" id="{00000000-0008-0000-0200-000056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80E277B6-FAB7-4154-9A80-7D58EC23B7D2}" type="TxLink">
                <a:rPr lang="en-US" sz="800" b="0" i="0" u="none" strike="noStrike">
                  <a:solidFill>
                    <a:srgbClr val="000000"/>
                  </a:solidFill>
                  <a:latin typeface="Arial"/>
                  <a:cs typeface="Arial"/>
                </a:rPr>
                <a:pPr algn="r"/>
                <a:t>Not Started</a:t>
              </a:fld>
              <a:endParaRPr lang="en-US" sz="1050" b="0" i="0">
                <a:latin typeface="Arial" pitchFamily="34" charset="0"/>
                <a:cs typeface="Arial" pitchFamily="34" charset="0"/>
              </a:endParaRPr>
            </a:p>
          </xdr:txBody>
        </xdr:sp>
        <xdr:sp macro="" textlink="">
          <xdr:nvSpPr>
            <xdr:cNvPr id="343" name="SECTION_GROUP_SUBTITLE_LABEL">
              <a:extLst>
                <a:ext uri="{FF2B5EF4-FFF2-40B4-BE49-F238E27FC236}">
                  <a16:creationId xmlns:a16="http://schemas.microsoft.com/office/drawing/2014/main" id="{00000000-0008-0000-0200-000057010000}"/>
                </a:ext>
              </a:extLst>
            </xdr:cNvPr>
            <xdr:cNvSpPr txBox="1"/>
          </xdr:nvSpPr>
          <xdr:spPr>
            <a:xfrm>
              <a:off x="15630526" y="17661235"/>
              <a:ext cx="476249" cy="2939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sp macro="" textlink="">
        <xdr:nvSpPr>
          <xdr:cNvPr id="345" name="LINK_RENTAL_TOC">
            <a:hlinkClick xmlns:r="http://schemas.openxmlformats.org/officeDocument/2006/relationships" r:id="rId18"/>
            <a:extLst>
              <a:ext uri="{FF2B5EF4-FFF2-40B4-BE49-F238E27FC236}">
                <a16:creationId xmlns:a16="http://schemas.microsoft.com/office/drawing/2014/main" id="{00000000-0008-0000-0200-000059010000}"/>
              </a:ext>
            </a:extLst>
          </xdr:cNvPr>
          <xdr:cNvSpPr/>
        </xdr:nvSpPr>
        <xdr:spPr>
          <a:xfrm>
            <a:off x="14516100" y="17419320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grpSp>
    <xdr:clientData fPrintsWithSheet="0"/>
  </xdr:twoCellAnchor>
  <xdr:twoCellAnchor>
    <xdr:from>
      <xdr:col>13</xdr:col>
      <xdr:colOff>47625</xdr:colOff>
      <xdr:row>537</xdr:row>
      <xdr:rowOff>142875</xdr:rowOff>
    </xdr:from>
    <xdr:to>
      <xdr:col>21</xdr:col>
      <xdr:colOff>123825</xdr:colOff>
      <xdr:row>537</xdr:row>
      <xdr:rowOff>142875</xdr:rowOff>
    </xdr:to>
    <xdr:cxnSp macro="">
      <xdr:nvCxnSpPr>
        <xdr:cNvPr id="346" name="DOTTED_LINE">
          <a:extLst>
            <a:ext uri="{FF2B5EF4-FFF2-40B4-BE49-F238E27FC236}">
              <a16:creationId xmlns:a16="http://schemas.microsoft.com/office/drawing/2014/main" id="{00000000-0008-0000-0200-00005A010000}"/>
            </a:ext>
          </a:extLst>
        </xdr:cNvPr>
        <xdr:cNvCxnSpPr/>
      </xdr:nvCxnSpPr>
      <xdr:spPr>
        <a:xfrm>
          <a:off x="10839450" y="174907575"/>
          <a:ext cx="36576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57151</xdr:colOff>
      <xdr:row>9</xdr:row>
      <xdr:rowOff>161928</xdr:rowOff>
    </xdr:from>
    <xdr:to>
      <xdr:col>24</xdr:col>
      <xdr:colOff>112397</xdr:colOff>
      <xdr:row>26</xdr:row>
      <xdr:rowOff>9525</xdr:rowOff>
    </xdr:to>
    <xdr:grpSp>
      <xdr:nvGrpSpPr>
        <xdr:cNvPr id="221" name="Group 220">
          <a:extLst>
            <a:ext uri="{FF2B5EF4-FFF2-40B4-BE49-F238E27FC236}">
              <a16:creationId xmlns:a16="http://schemas.microsoft.com/office/drawing/2014/main" id="{00000000-0008-0000-0200-0000DD000000}"/>
            </a:ext>
          </a:extLst>
        </xdr:cNvPr>
        <xdr:cNvGrpSpPr/>
      </xdr:nvGrpSpPr>
      <xdr:grpSpPr>
        <a:xfrm>
          <a:off x="57151" y="1876428"/>
          <a:ext cx="7379971" cy="4457697"/>
          <a:chOff x="8191501" y="1876428"/>
          <a:chExt cx="7379971" cy="4457697"/>
        </a:xfrm>
      </xdr:grpSpPr>
      <xdr:grpSp>
        <xdr:nvGrpSpPr>
          <xdr:cNvPr id="116" name="Group 115">
            <a:extLst>
              <a:ext uri="{FF2B5EF4-FFF2-40B4-BE49-F238E27FC236}">
                <a16:creationId xmlns:a16="http://schemas.microsoft.com/office/drawing/2014/main" id="{00000000-0008-0000-0200-000074000000}"/>
              </a:ext>
            </a:extLst>
          </xdr:cNvPr>
          <xdr:cNvGrpSpPr/>
        </xdr:nvGrpSpPr>
        <xdr:grpSpPr>
          <a:xfrm>
            <a:off x="8191501" y="1876428"/>
            <a:ext cx="7379971" cy="4457697"/>
            <a:chOff x="7772398" y="1809753"/>
            <a:chExt cx="7379971" cy="4457697"/>
          </a:xfrm>
        </xdr:grpSpPr>
        <xdr:grpSp>
          <xdr:nvGrpSpPr>
            <xdr:cNvPr id="126" name="TOC_FRAME">
              <a:extLst>
                <a:ext uri="{FF2B5EF4-FFF2-40B4-BE49-F238E27FC236}">
                  <a16:creationId xmlns:a16="http://schemas.microsoft.com/office/drawing/2014/main" id="{00000000-0008-0000-0200-00007E000000}"/>
                </a:ext>
              </a:extLst>
            </xdr:cNvPr>
            <xdr:cNvGrpSpPr/>
          </xdr:nvGrpSpPr>
          <xdr:grpSpPr>
            <a:xfrm>
              <a:off x="7781923" y="1809753"/>
              <a:ext cx="7370446" cy="4457697"/>
              <a:chOff x="8191498" y="1276170"/>
              <a:chExt cx="7370446" cy="4543502"/>
            </a:xfrm>
          </xdr:grpSpPr>
          <xdr:grpSp>
            <xdr:nvGrpSpPr>
              <xdr:cNvPr id="127" name="RENTAL_TABLE_OF_CONTENTS">
                <a:extLst>
                  <a:ext uri="{FF2B5EF4-FFF2-40B4-BE49-F238E27FC236}">
                    <a16:creationId xmlns:a16="http://schemas.microsoft.com/office/drawing/2014/main" id="{00000000-0008-0000-0200-00007F000000}"/>
                  </a:ext>
                </a:extLst>
              </xdr:cNvPr>
              <xdr:cNvGrpSpPr/>
            </xdr:nvGrpSpPr>
            <xdr:grpSpPr>
              <a:xfrm>
                <a:off x="8191500" y="1276170"/>
                <a:ext cx="7370444" cy="4543502"/>
                <a:chOff x="8191500" y="1276170"/>
                <a:chExt cx="7370444" cy="4543502"/>
              </a:xfrm>
            </xdr:grpSpPr>
            <xdr:sp macro="" textlink="">
              <xdr:nvSpPr>
                <xdr:cNvPr id="136" name="TOC_HEADER_BG">
                  <a:extLst>
                    <a:ext uri="{FF2B5EF4-FFF2-40B4-BE49-F238E27FC236}">
                      <a16:creationId xmlns:a16="http://schemas.microsoft.com/office/drawing/2014/main" id="{00000000-0008-0000-0200-000088000000}"/>
                    </a:ext>
                  </a:extLst>
                </xdr:cNvPr>
                <xdr:cNvSpPr/>
              </xdr:nvSpPr>
              <xdr:spPr>
                <a:xfrm>
                  <a:off x="8201023" y="1601685"/>
                  <a:ext cx="7360921" cy="275969"/>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a:latin typeface="Arial" pitchFamily="34" charset="0"/>
                    <a:cs typeface="Arial" pitchFamily="34" charset="0"/>
                  </a:endParaRPr>
                </a:p>
              </xdr:txBody>
            </xdr:sp>
            <xdr:grpSp>
              <xdr:nvGrpSpPr>
                <xdr:cNvPr id="137" name="TOC">
                  <a:extLst>
                    <a:ext uri="{FF2B5EF4-FFF2-40B4-BE49-F238E27FC236}">
                      <a16:creationId xmlns:a16="http://schemas.microsoft.com/office/drawing/2014/main" id="{00000000-0008-0000-0200-000089000000}"/>
                    </a:ext>
                  </a:extLst>
                </xdr:cNvPr>
                <xdr:cNvGrpSpPr/>
              </xdr:nvGrpSpPr>
              <xdr:grpSpPr>
                <a:xfrm>
                  <a:off x="8191500" y="1276170"/>
                  <a:ext cx="7362825" cy="4543502"/>
                  <a:chOff x="9239250" y="1816952"/>
                  <a:chExt cx="7362825" cy="3503075"/>
                </a:xfrm>
                <a:effectLst/>
              </xdr:grpSpPr>
              <xdr:sp macro="" textlink="">
                <xdr:nvSpPr>
                  <xdr:cNvPr id="142" name="Rectangle 141">
                    <a:extLst>
                      <a:ext uri="{FF2B5EF4-FFF2-40B4-BE49-F238E27FC236}">
                        <a16:creationId xmlns:a16="http://schemas.microsoft.com/office/drawing/2014/main" id="{00000000-0008-0000-0200-00008E000000}"/>
                      </a:ext>
                    </a:extLst>
                  </xdr:cNvPr>
                  <xdr:cNvSpPr/>
                </xdr:nvSpPr>
                <xdr:spPr>
                  <a:xfrm>
                    <a:off x="9239250" y="2052092"/>
                    <a:ext cx="7362825" cy="3267935"/>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a:latin typeface="Arial" pitchFamily="34" charset="0"/>
                      <a:cs typeface="Arial" pitchFamily="34" charset="0"/>
                    </a:endParaRPr>
                  </a:p>
                </xdr:txBody>
              </xdr:sp>
              <xdr:sp macro="" textlink="">
                <xdr:nvSpPr>
                  <xdr:cNvPr id="143" name="TOC_TITLE">
                    <a:extLst>
                      <a:ext uri="{FF2B5EF4-FFF2-40B4-BE49-F238E27FC236}">
                        <a16:creationId xmlns:a16="http://schemas.microsoft.com/office/drawing/2014/main" id="{00000000-0008-0000-0200-00008F000000}"/>
                      </a:ext>
                    </a:extLst>
                  </xdr:cNvPr>
                  <xdr:cNvSpPr/>
                </xdr:nvSpPr>
                <xdr:spPr>
                  <a:xfrm>
                    <a:off x="9239250" y="1816952"/>
                    <a:ext cx="7360920" cy="244295"/>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r>
                      <a:rPr lang="en-US" sz="1000" b="1">
                        <a:solidFill>
                          <a:schemeClr val="bg1"/>
                        </a:solidFill>
                        <a:latin typeface="Arial" pitchFamily="34" charset="0"/>
                        <a:cs typeface="Arial" pitchFamily="34" charset="0"/>
                      </a:rPr>
                      <a:t>Application</a:t>
                    </a:r>
                    <a:r>
                      <a:rPr lang="en-US" sz="1100" b="1">
                        <a:solidFill>
                          <a:schemeClr val="bg1"/>
                        </a:solidFill>
                        <a:latin typeface="Arial" pitchFamily="34" charset="0"/>
                        <a:cs typeface="Arial" pitchFamily="34" charset="0"/>
                      </a:rPr>
                      <a:t> Table of Contents</a:t>
                    </a:r>
                  </a:p>
                </xdr:txBody>
              </xdr:sp>
            </xdr:grpSp>
            <xdr:sp macro="" textlink="">
              <xdr:nvSpPr>
                <xdr:cNvPr id="138" name="TOC_HEADER_LABEL_1">
                  <a:extLst>
                    <a:ext uri="{FF2B5EF4-FFF2-40B4-BE49-F238E27FC236}">
                      <a16:creationId xmlns:a16="http://schemas.microsoft.com/office/drawing/2014/main" id="{00000000-0008-0000-0200-00008A000000}"/>
                    </a:ext>
                  </a:extLst>
                </xdr:cNvPr>
                <xdr:cNvSpPr txBox="1"/>
              </xdr:nvSpPr>
              <xdr:spPr>
                <a:xfrm>
                  <a:off x="8302028" y="1630443"/>
                  <a:ext cx="2137372"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lIns="0" rtlCol="0" anchor="t">
                  <a:noAutofit/>
                </a:bodyPr>
                <a:lstStyle/>
                <a:p>
                  <a:r>
                    <a:rPr lang="en-US" sz="900" b="1">
                      <a:latin typeface="Arial" pitchFamily="34" charset="0"/>
                      <a:cs typeface="Arial" pitchFamily="34" charset="0"/>
                    </a:rPr>
                    <a:t>1. General</a:t>
                  </a:r>
                  <a:r>
                    <a:rPr lang="en-US" sz="900" b="1" baseline="0">
                      <a:latin typeface="Arial" pitchFamily="34" charset="0"/>
                      <a:cs typeface="Arial" pitchFamily="34" charset="0"/>
                    </a:rPr>
                    <a:t> Information</a:t>
                  </a:r>
                  <a:endParaRPr lang="en-US" sz="900" b="1">
                    <a:latin typeface="Arial" pitchFamily="34" charset="0"/>
                    <a:cs typeface="Arial" pitchFamily="34" charset="0"/>
                  </a:endParaRPr>
                </a:p>
              </xdr:txBody>
            </xdr:sp>
            <xdr:sp macro="" textlink="">
              <xdr:nvSpPr>
                <xdr:cNvPr id="139" name="TOC_HEADER_LABEL_1">
                  <a:extLst>
                    <a:ext uri="{FF2B5EF4-FFF2-40B4-BE49-F238E27FC236}">
                      <a16:creationId xmlns:a16="http://schemas.microsoft.com/office/drawing/2014/main" id="{00000000-0008-0000-0200-00008B000000}"/>
                    </a:ext>
                  </a:extLst>
                </xdr:cNvPr>
                <xdr:cNvSpPr txBox="1"/>
              </xdr:nvSpPr>
              <xdr:spPr>
                <a:xfrm>
                  <a:off x="10988755" y="1630443"/>
                  <a:ext cx="876784"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r>
                    <a:rPr lang="en-US" sz="900" b="1">
                      <a:latin typeface="Arial" pitchFamily="34" charset="0"/>
                      <a:cs typeface="Arial" pitchFamily="34" charset="0"/>
                    </a:rPr>
                    <a:t>Progress</a:t>
                  </a:r>
                </a:p>
              </xdr:txBody>
            </xdr:sp>
            <xdr:sp macro="" textlink="">
              <xdr:nvSpPr>
                <xdr:cNvPr id="140" name="TOC_HEADER_LABEL_3">
                  <a:extLst>
                    <a:ext uri="{FF2B5EF4-FFF2-40B4-BE49-F238E27FC236}">
                      <a16:creationId xmlns:a16="http://schemas.microsoft.com/office/drawing/2014/main" id="{00000000-0008-0000-0200-00008C000000}"/>
                    </a:ext>
                  </a:extLst>
                </xdr:cNvPr>
                <xdr:cNvSpPr txBox="1"/>
              </xdr:nvSpPr>
              <xdr:spPr>
                <a:xfrm>
                  <a:off x="11990098" y="1630443"/>
                  <a:ext cx="1226450"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lIns="0" rtlCol="0" anchor="t">
                  <a:noAutofit/>
                </a:bodyPr>
                <a:lstStyle/>
                <a:p>
                  <a:r>
                    <a:rPr lang="en-US" sz="900" b="1">
                      <a:latin typeface="Arial" pitchFamily="34" charset="0"/>
                      <a:cs typeface="Arial" pitchFamily="34" charset="0"/>
                    </a:rPr>
                    <a:t>2. Scoring</a:t>
                  </a:r>
                </a:p>
              </xdr:txBody>
            </xdr:sp>
            <xdr:sp macro="" textlink="">
              <xdr:nvSpPr>
                <xdr:cNvPr id="141" name="TOC_HEADER_LABEL_4">
                  <a:extLst>
                    <a:ext uri="{FF2B5EF4-FFF2-40B4-BE49-F238E27FC236}">
                      <a16:creationId xmlns:a16="http://schemas.microsoft.com/office/drawing/2014/main" id="{00000000-0008-0000-0200-00008D000000}"/>
                    </a:ext>
                  </a:extLst>
                </xdr:cNvPr>
                <xdr:cNvSpPr txBox="1"/>
              </xdr:nvSpPr>
              <xdr:spPr>
                <a:xfrm>
                  <a:off x="14554212" y="1630443"/>
                  <a:ext cx="871248"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r>
                    <a:rPr lang="en-US" sz="900" b="1">
                      <a:latin typeface="Arial" pitchFamily="34" charset="0"/>
                      <a:cs typeface="Arial" pitchFamily="34" charset="0"/>
                    </a:rPr>
                    <a:t>Progress</a:t>
                  </a:r>
                </a:p>
              </xdr:txBody>
            </xdr:sp>
          </xdr:grpSp>
          <xdr:grpSp>
            <xdr:nvGrpSpPr>
              <xdr:cNvPr id="129" name="TOC_HORIZONTAL_DIVIDERS">
                <a:extLst>
                  <a:ext uri="{FF2B5EF4-FFF2-40B4-BE49-F238E27FC236}">
                    <a16:creationId xmlns:a16="http://schemas.microsoft.com/office/drawing/2014/main" id="{00000000-0008-0000-0200-000081000000}"/>
                  </a:ext>
                </a:extLst>
              </xdr:cNvPr>
              <xdr:cNvGrpSpPr/>
            </xdr:nvGrpSpPr>
            <xdr:grpSpPr>
              <a:xfrm>
                <a:off x="8191498" y="2152468"/>
                <a:ext cx="7362825" cy="1400726"/>
                <a:chOff x="8191498" y="2152468"/>
                <a:chExt cx="7362825" cy="1400726"/>
              </a:xfrm>
            </xdr:grpSpPr>
            <xdr:cxnSp macro="">
              <xdr:nvCxnSpPr>
                <xdr:cNvPr id="130" name="DOTTED_LINE">
                  <a:extLst>
                    <a:ext uri="{FF2B5EF4-FFF2-40B4-BE49-F238E27FC236}">
                      <a16:creationId xmlns:a16="http://schemas.microsoft.com/office/drawing/2014/main" id="{00000000-0008-0000-0200-000082000000}"/>
                    </a:ext>
                  </a:extLst>
                </xdr:cNvPr>
                <xdr:cNvCxnSpPr/>
              </xdr:nvCxnSpPr>
              <xdr:spPr>
                <a:xfrm flipH="1">
                  <a:off x="8191498" y="2152468"/>
                  <a:ext cx="7362825"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cxnSp macro="">
              <xdr:nvCxnSpPr>
                <xdr:cNvPr id="131" name="DOTTED_LINE">
                  <a:extLst>
                    <a:ext uri="{FF2B5EF4-FFF2-40B4-BE49-F238E27FC236}">
                      <a16:creationId xmlns:a16="http://schemas.microsoft.com/office/drawing/2014/main" id="{00000000-0008-0000-0200-000083000000}"/>
                    </a:ext>
                  </a:extLst>
                </xdr:cNvPr>
                <xdr:cNvCxnSpPr/>
              </xdr:nvCxnSpPr>
              <xdr:spPr>
                <a:xfrm flipH="1">
                  <a:off x="8191498" y="2428693"/>
                  <a:ext cx="7360920"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cxnSp macro="">
              <xdr:nvCxnSpPr>
                <xdr:cNvPr id="132" name="DOTTED_LINE">
                  <a:extLst>
                    <a:ext uri="{FF2B5EF4-FFF2-40B4-BE49-F238E27FC236}">
                      <a16:creationId xmlns:a16="http://schemas.microsoft.com/office/drawing/2014/main" id="{00000000-0008-0000-0200-000084000000}"/>
                    </a:ext>
                  </a:extLst>
                </xdr:cNvPr>
                <xdr:cNvCxnSpPr/>
              </xdr:nvCxnSpPr>
              <xdr:spPr>
                <a:xfrm flipH="1">
                  <a:off x="8191498" y="2714625"/>
                  <a:ext cx="7360920"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cxnSp macro="">
              <xdr:nvCxnSpPr>
                <xdr:cNvPr id="133" name="DOTTED_LINE">
                  <a:extLst>
                    <a:ext uri="{FF2B5EF4-FFF2-40B4-BE49-F238E27FC236}">
                      <a16:creationId xmlns:a16="http://schemas.microsoft.com/office/drawing/2014/main" id="{00000000-0008-0000-0200-000085000000}"/>
                    </a:ext>
                  </a:extLst>
                </xdr:cNvPr>
                <xdr:cNvCxnSpPr/>
              </xdr:nvCxnSpPr>
              <xdr:spPr>
                <a:xfrm flipH="1">
                  <a:off x="8191498" y="2990850"/>
                  <a:ext cx="7360920"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cxnSp macro="">
              <xdr:nvCxnSpPr>
                <xdr:cNvPr id="134" name="DOTTED_LINE">
                  <a:extLst>
                    <a:ext uri="{FF2B5EF4-FFF2-40B4-BE49-F238E27FC236}">
                      <a16:creationId xmlns:a16="http://schemas.microsoft.com/office/drawing/2014/main" id="{00000000-0008-0000-0200-000086000000}"/>
                    </a:ext>
                  </a:extLst>
                </xdr:cNvPr>
                <xdr:cNvCxnSpPr/>
              </xdr:nvCxnSpPr>
              <xdr:spPr>
                <a:xfrm flipH="1">
                  <a:off x="8191498" y="3276782"/>
                  <a:ext cx="7360920"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cxnSp macro="">
              <xdr:nvCxnSpPr>
                <xdr:cNvPr id="135" name="DOTTED_LINE">
                  <a:extLst>
                    <a:ext uri="{FF2B5EF4-FFF2-40B4-BE49-F238E27FC236}">
                      <a16:creationId xmlns:a16="http://schemas.microsoft.com/office/drawing/2014/main" id="{00000000-0008-0000-0200-000087000000}"/>
                    </a:ext>
                  </a:extLst>
                </xdr:cNvPr>
                <xdr:cNvCxnSpPr/>
              </xdr:nvCxnSpPr>
              <xdr:spPr>
                <a:xfrm flipH="1">
                  <a:off x="11877675" y="3553194"/>
                  <a:ext cx="3674743"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grpSp>
        </xdr:grpSp>
        <xdr:cxnSp macro="">
          <xdr:nvCxnSpPr>
            <xdr:cNvPr id="323" name="DOTTED_LINE">
              <a:extLst>
                <a:ext uri="{FF2B5EF4-FFF2-40B4-BE49-F238E27FC236}">
                  <a16:creationId xmlns:a16="http://schemas.microsoft.com/office/drawing/2014/main" id="{00000000-0008-0000-0200-000043010000}"/>
                </a:ext>
              </a:extLst>
            </xdr:cNvPr>
            <xdr:cNvCxnSpPr/>
          </xdr:nvCxnSpPr>
          <xdr:spPr>
            <a:xfrm flipH="1">
              <a:off x="7781923" y="4324353"/>
              <a:ext cx="7360920"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cxnSp macro="">
          <xdr:nvCxnSpPr>
            <xdr:cNvPr id="324" name="DOTTED_LINE">
              <a:extLst>
                <a:ext uri="{FF2B5EF4-FFF2-40B4-BE49-F238E27FC236}">
                  <a16:creationId xmlns:a16="http://schemas.microsoft.com/office/drawing/2014/main" id="{00000000-0008-0000-0200-000044010000}"/>
                </a:ext>
              </a:extLst>
            </xdr:cNvPr>
            <xdr:cNvCxnSpPr/>
          </xdr:nvCxnSpPr>
          <xdr:spPr>
            <a:xfrm flipH="1">
              <a:off x="7772398" y="4600578"/>
              <a:ext cx="7360920"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cxnSp macro="">
          <xdr:nvCxnSpPr>
            <xdr:cNvPr id="325" name="DOTTED_LINE">
              <a:extLst>
                <a:ext uri="{FF2B5EF4-FFF2-40B4-BE49-F238E27FC236}">
                  <a16:creationId xmlns:a16="http://schemas.microsoft.com/office/drawing/2014/main" id="{00000000-0008-0000-0200-000045010000}"/>
                </a:ext>
              </a:extLst>
            </xdr:cNvPr>
            <xdr:cNvCxnSpPr/>
          </xdr:nvCxnSpPr>
          <xdr:spPr>
            <a:xfrm flipH="1">
              <a:off x="7791448" y="4876803"/>
              <a:ext cx="7360920"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cxnSp macro="">
          <xdr:nvCxnSpPr>
            <xdr:cNvPr id="326" name="DOTTED_LINE">
              <a:extLst>
                <a:ext uri="{FF2B5EF4-FFF2-40B4-BE49-F238E27FC236}">
                  <a16:creationId xmlns:a16="http://schemas.microsoft.com/office/drawing/2014/main" id="{00000000-0008-0000-0200-000046010000}"/>
                </a:ext>
              </a:extLst>
            </xdr:cNvPr>
            <xdr:cNvCxnSpPr/>
          </xdr:nvCxnSpPr>
          <xdr:spPr>
            <a:xfrm flipH="1">
              <a:off x="7781923" y="5153028"/>
              <a:ext cx="7360920"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grpSp>
      <xdr:cxnSp macro="">
        <xdr:nvCxnSpPr>
          <xdr:cNvPr id="348" name="DOTTED_LINE">
            <a:extLst>
              <a:ext uri="{FF2B5EF4-FFF2-40B4-BE49-F238E27FC236}">
                <a16:creationId xmlns:a16="http://schemas.microsoft.com/office/drawing/2014/main" id="{00000000-0008-0000-0200-00005C010000}"/>
              </a:ext>
            </a:extLst>
          </xdr:cNvPr>
          <xdr:cNvCxnSpPr/>
        </xdr:nvCxnSpPr>
        <xdr:spPr>
          <a:xfrm flipH="1">
            <a:off x="8199369" y="5495925"/>
            <a:ext cx="7353299"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cxnSp macro="">
        <xdr:nvCxnSpPr>
          <xdr:cNvPr id="350" name="DOTTED_LINE">
            <a:extLst>
              <a:ext uri="{FF2B5EF4-FFF2-40B4-BE49-F238E27FC236}">
                <a16:creationId xmlns:a16="http://schemas.microsoft.com/office/drawing/2014/main" id="{00000000-0008-0000-0200-00005E010000}"/>
              </a:ext>
            </a:extLst>
          </xdr:cNvPr>
          <xdr:cNvCxnSpPr/>
        </xdr:nvCxnSpPr>
        <xdr:spPr>
          <a:xfrm flipH="1">
            <a:off x="8199369" y="5772150"/>
            <a:ext cx="7341290"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cxnSp macro="">
        <xdr:nvCxnSpPr>
          <xdr:cNvPr id="353" name="DOTTED_LINE">
            <a:extLst>
              <a:ext uri="{FF2B5EF4-FFF2-40B4-BE49-F238E27FC236}">
                <a16:creationId xmlns:a16="http://schemas.microsoft.com/office/drawing/2014/main" id="{00000000-0008-0000-0200-000061010000}"/>
              </a:ext>
            </a:extLst>
          </xdr:cNvPr>
          <xdr:cNvCxnSpPr/>
        </xdr:nvCxnSpPr>
        <xdr:spPr>
          <a:xfrm flipH="1">
            <a:off x="8199369" y="6048383"/>
            <a:ext cx="7349572"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grpSp>
    <xdr:clientData fPrintsWithSheet="0"/>
  </xdr:twoCellAnchor>
  <xdr:oneCellAnchor>
    <xdr:from>
      <xdr:col>16</xdr:col>
      <xdr:colOff>314325</xdr:colOff>
      <xdr:row>23</xdr:row>
      <xdr:rowOff>9525</xdr:rowOff>
    </xdr:from>
    <xdr:ext cx="2181225" cy="264560"/>
    <xdr:sp macro="" textlink="$AC$24">
      <xdr:nvSpPr>
        <xdr:cNvPr id="360" name="TOC_SECTION_LINK">
          <a:hlinkClick xmlns:r="http://schemas.openxmlformats.org/officeDocument/2006/relationships" r:id="rId26"/>
          <a:extLst>
            <a:ext uri="{FF2B5EF4-FFF2-40B4-BE49-F238E27FC236}">
              <a16:creationId xmlns:a16="http://schemas.microsoft.com/office/drawing/2014/main" id="{00000000-0008-0000-0200-000068010000}"/>
            </a:ext>
          </a:extLst>
        </xdr:cNvPr>
        <xdr:cNvSpPr txBox="1"/>
      </xdr:nvSpPr>
      <xdr:spPr>
        <a:xfrm>
          <a:off x="12182475" y="5505450"/>
          <a:ext cx="2181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0103CC84-8723-4E90-B791-F840FA10C9CB}" type="TxLink">
            <a:rPr lang="en-US" sz="900" b="1" i="0" u="sng" strike="noStrike">
              <a:solidFill>
                <a:srgbClr val="366092"/>
              </a:solidFill>
              <a:latin typeface="Arial"/>
              <a:cs typeface="Arial"/>
            </a:rPr>
            <a:pPr algn="l"/>
            <a:t>In-District Projects</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mc:AlternateContent xmlns:mc="http://schemas.openxmlformats.org/markup-compatibility/2006">
    <mc:Choice xmlns:a14="http://schemas.microsoft.com/office/drawing/2010/main" Requires="a14">
      <xdr:twoCellAnchor editAs="oneCell">
        <xdr:from>
          <xdr:col>8</xdr:col>
          <xdr:colOff>0</xdr:colOff>
          <xdr:row>729</xdr:row>
          <xdr:rowOff>9525</xdr:rowOff>
        </xdr:from>
        <xdr:to>
          <xdr:col>23</xdr:col>
          <xdr:colOff>0</xdr:colOff>
          <xdr:row>746</xdr:row>
          <xdr:rowOff>0</xdr:rowOff>
        </xdr:to>
        <xdr:sp macro="" textlink="">
          <xdr:nvSpPr>
            <xdr:cNvPr id="23584" name="Group Box 32" hidden="1">
              <a:extLst>
                <a:ext uri="{63B3BB69-23CF-44E3-9099-C40C66FF867C}">
                  <a14:compatExt spid="_x0000_s23584"/>
                </a:ext>
                <a:ext uri="{FF2B5EF4-FFF2-40B4-BE49-F238E27FC236}">
                  <a16:creationId xmlns:a16="http://schemas.microsoft.com/office/drawing/2014/main" id="{00000000-0008-0000-0200-000020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688</xdr:row>
          <xdr:rowOff>9525</xdr:rowOff>
        </xdr:from>
        <xdr:to>
          <xdr:col>23</xdr:col>
          <xdr:colOff>0</xdr:colOff>
          <xdr:row>705</xdr:row>
          <xdr:rowOff>9525</xdr:rowOff>
        </xdr:to>
        <xdr:sp macro="" textlink="">
          <xdr:nvSpPr>
            <xdr:cNvPr id="23577" name="Group Box 25" hidden="1">
              <a:extLst>
                <a:ext uri="{63B3BB69-23CF-44E3-9099-C40C66FF867C}">
                  <a14:compatExt spid="_x0000_s23577"/>
                </a:ext>
                <a:ext uri="{FF2B5EF4-FFF2-40B4-BE49-F238E27FC236}">
                  <a16:creationId xmlns:a16="http://schemas.microsoft.com/office/drawing/2014/main" id="{00000000-0008-0000-0200-000019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638</xdr:row>
          <xdr:rowOff>9525</xdr:rowOff>
        </xdr:from>
        <xdr:to>
          <xdr:col>23</xdr:col>
          <xdr:colOff>0</xdr:colOff>
          <xdr:row>648</xdr:row>
          <xdr:rowOff>0</xdr:rowOff>
        </xdr:to>
        <xdr:sp macro="" textlink="">
          <xdr:nvSpPr>
            <xdr:cNvPr id="23573" name="Group Box 21" hidden="1">
              <a:extLst>
                <a:ext uri="{63B3BB69-23CF-44E3-9099-C40C66FF867C}">
                  <a14:compatExt spid="_x0000_s23573"/>
                </a:ext>
                <a:ext uri="{FF2B5EF4-FFF2-40B4-BE49-F238E27FC236}">
                  <a16:creationId xmlns:a16="http://schemas.microsoft.com/office/drawing/2014/main" id="{00000000-0008-0000-0200-000015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616</xdr:row>
          <xdr:rowOff>9525</xdr:rowOff>
        </xdr:from>
        <xdr:to>
          <xdr:col>23</xdr:col>
          <xdr:colOff>0</xdr:colOff>
          <xdr:row>634</xdr:row>
          <xdr:rowOff>9525</xdr:rowOff>
        </xdr:to>
        <xdr:sp macro="" textlink="">
          <xdr:nvSpPr>
            <xdr:cNvPr id="23563" name="Group Box 11" hidden="1">
              <a:extLst>
                <a:ext uri="{63B3BB69-23CF-44E3-9099-C40C66FF867C}">
                  <a14:compatExt spid="_x0000_s23563"/>
                </a:ext>
                <a:ext uri="{FF2B5EF4-FFF2-40B4-BE49-F238E27FC236}">
                  <a16:creationId xmlns:a16="http://schemas.microsoft.com/office/drawing/2014/main" id="{00000000-0008-0000-0200-00000B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oneCellAnchor>
    <xdr:from>
      <xdr:col>16</xdr:col>
      <xdr:colOff>323850</xdr:colOff>
      <xdr:row>24</xdr:row>
      <xdr:rowOff>9525</xdr:rowOff>
    </xdr:from>
    <xdr:ext cx="2181225" cy="264560"/>
    <xdr:sp macro="" textlink="$AC$25">
      <xdr:nvSpPr>
        <xdr:cNvPr id="359" name="TOC_SECTION_LINK">
          <a:hlinkClick xmlns:r="http://schemas.openxmlformats.org/officeDocument/2006/relationships" r:id="rId27"/>
          <a:extLst>
            <a:ext uri="{FF2B5EF4-FFF2-40B4-BE49-F238E27FC236}">
              <a16:creationId xmlns:a16="http://schemas.microsoft.com/office/drawing/2014/main" id="{00000000-0008-0000-0200-000067010000}"/>
            </a:ext>
          </a:extLst>
        </xdr:cNvPr>
        <xdr:cNvSpPr txBox="1"/>
      </xdr:nvSpPr>
      <xdr:spPr>
        <a:xfrm>
          <a:off x="12192000" y="5781675"/>
          <a:ext cx="2181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CD93AB81-F468-43DB-B23D-F305DB145BEF}" type="TxLink">
            <a:rPr lang="en-US" sz="900" b="1" i="0" u="sng" strike="noStrike">
              <a:solidFill>
                <a:srgbClr val="366092"/>
              </a:solidFill>
              <a:latin typeface="Arial"/>
              <a:cs typeface="Arial"/>
            </a:rPr>
            <a:pPr algn="l"/>
            <a:t>Subsidy per Unit</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twoCellAnchor editAs="oneCell">
    <xdr:from>
      <xdr:col>7</xdr:col>
      <xdr:colOff>66675</xdr:colOff>
      <xdr:row>818</xdr:row>
      <xdr:rowOff>257210</xdr:rowOff>
    </xdr:from>
    <xdr:to>
      <xdr:col>24</xdr:col>
      <xdr:colOff>104775</xdr:colOff>
      <xdr:row>828</xdr:row>
      <xdr:rowOff>114320</xdr:rowOff>
    </xdr:to>
    <xdr:grpSp>
      <xdr:nvGrpSpPr>
        <xdr:cNvPr id="361" name="Group 360">
          <a:extLst>
            <a:ext uri="{FF2B5EF4-FFF2-40B4-BE49-F238E27FC236}">
              <a16:creationId xmlns:a16="http://schemas.microsoft.com/office/drawing/2014/main" id="{00000000-0008-0000-0200-000069010000}"/>
            </a:ext>
          </a:extLst>
        </xdr:cNvPr>
        <xdr:cNvGrpSpPr/>
      </xdr:nvGrpSpPr>
      <xdr:grpSpPr>
        <a:xfrm>
          <a:off x="66675" y="242411285"/>
          <a:ext cx="7362825" cy="2619360"/>
          <a:chOff x="8191500" y="185499371"/>
          <a:chExt cx="7362825" cy="2703188"/>
        </a:xfrm>
      </xdr:grpSpPr>
      <xdr:grpSp>
        <xdr:nvGrpSpPr>
          <xdr:cNvPr id="362" name="SECTION_GROUP">
            <a:extLst>
              <a:ext uri="{FF2B5EF4-FFF2-40B4-BE49-F238E27FC236}">
                <a16:creationId xmlns:a16="http://schemas.microsoft.com/office/drawing/2014/main" id="{00000000-0008-0000-0200-00006A010000}"/>
              </a:ext>
            </a:extLst>
          </xdr:cNvPr>
          <xdr:cNvGrpSpPr/>
        </xdr:nvGrpSpPr>
        <xdr:grpSpPr>
          <a:xfrm>
            <a:off x="8191500" y="185499376"/>
            <a:ext cx="7362824" cy="2703183"/>
            <a:chOff x="9363075" y="17306808"/>
            <a:chExt cx="7362825" cy="2909772"/>
          </a:xfrm>
        </xdr:grpSpPr>
        <xdr:sp macro="" textlink="$B$564">
          <xdr:nvSpPr>
            <xdr:cNvPr id="364" name="SECTION_GROUP_TITLE">
              <a:extLst>
                <a:ext uri="{FF2B5EF4-FFF2-40B4-BE49-F238E27FC236}">
                  <a16:creationId xmlns:a16="http://schemas.microsoft.com/office/drawing/2014/main" id="{00000000-0008-0000-0200-00006C010000}"/>
                </a:ext>
              </a:extLst>
            </xdr:cNvPr>
            <xdr:cNvSpPr/>
          </xdr:nvSpPr>
          <xdr:spPr>
            <a:xfrm>
              <a:off x="9363075" y="17306808"/>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7136407B-1F7C-41B2-A4B7-4FA569429311}" type="TxLink">
                <a:rPr lang="en-US" sz="1000" b="1" i="0" u="none" strike="noStrike">
                  <a:solidFill>
                    <a:srgbClr val="FFFFFF"/>
                  </a:solidFill>
                  <a:latin typeface="Arial"/>
                  <a:cs typeface="Arial"/>
                </a:rPr>
                <a:pPr algn="l"/>
                <a:t>Subsidy per Unit (Maximum Points: 12)</a:t>
              </a:fld>
              <a:endParaRPr lang="en-US" sz="800" b="1" i="0" u="none" strike="noStrike">
                <a:solidFill>
                  <a:schemeClr val="bg1"/>
                </a:solidFill>
                <a:latin typeface="Arial" pitchFamily="34" charset="0"/>
                <a:cs typeface="Arial" pitchFamily="34" charset="0"/>
              </a:endParaRPr>
            </a:p>
          </xdr:txBody>
        </xdr:sp>
        <xdr:sp macro="" textlink="">
          <xdr:nvSpPr>
            <xdr:cNvPr id="365" name="SECTION_GROUP_FRAME">
              <a:extLst>
                <a:ext uri="{FF2B5EF4-FFF2-40B4-BE49-F238E27FC236}">
                  <a16:creationId xmlns:a16="http://schemas.microsoft.com/office/drawing/2014/main" id="{00000000-0008-0000-0200-00006D010000}"/>
                </a:ext>
              </a:extLst>
            </xdr:cNvPr>
            <xdr:cNvSpPr/>
          </xdr:nvSpPr>
          <xdr:spPr>
            <a:xfrm>
              <a:off x="9363075" y="17641464"/>
              <a:ext cx="7362825" cy="2575116"/>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573">
          <xdr:nvSpPr>
            <xdr:cNvPr id="366" name="SECTION_GROUP_SUBTITLE">
              <a:extLst>
                <a:ext uri="{FF2B5EF4-FFF2-40B4-BE49-F238E27FC236}">
                  <a16:creationId xmlns:a16="http://schemas.microsoft.com/office/drawing/2014/main" id="{00000000-0008-0000-0200-00006E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r"/>
              <a:fld id="{8151B7C9-D41B-4049-8F0E-F2611F6FCEC8}" type="TxLink">
                <a:rPr lang="en-US" sz="800" b="0" i="0" u="none" strike="noStrike">
                  <a:solidFill>
                    <a:srgbClr val="000000"/>
                  </a:solidFill>
                  <a:latin typeface="Arial"/>
                  <a:cs typeface="Arial"/>
                </a:rPr>
                <a:pPr algn="r"/>
                <a:t>Not Started</a:t>
              </a:fld>
              <a:endParaRPr lang="en-US" sz="1050" b="0" i="0">
                <a:latin typeface="Arial" pitchFamily="34" charset="0"/>
                <a:cs typeface="Arial" pitchFamily="34" charset="0"/>
              </a:endParaRPr>
            </a:p>
          </xdr:txBody>
        </xdr:sp>
        <xdr:sp macro="" textlink="">
          <xdr:nvSpPr>
            <xdr:cNvPr id="367" name="SECTION_GROUP_SUBTITLE_LABEL">
              <a:extLst>
                <a:ext uri="{FF2B5EF4-FFF2-40B4-BE49-F238E27FC236}">
                  <a16:creationId xmlns:a16="http://schemas.microsoft.com/office/drawing/2014/main" id="{00000000-0008-0000-0200-00006F010000}"/>
                </a:ext>
              </a:extLst>
            </xdr:cNvPr>
            <xdr:cNvSpPr txBox="1"/>
          </xdr:nvSpPr>
          <xdr:spPr>
            <a:xfrm>
              <a:off x="15630526"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pPr algn="r"/>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sp macro="" textlink="">
        <xdr:nvSpPr>
          <xdr:cNvPr id="363" name="LINK_RENTAL_TOC">
            <a:hlinkClick xmlns:r="http://schemas.openxmlformats.org/officeDocument/2006/relationships" r:id="rId18"/>
            <a:extLst>
              <a:ext uri="{FF2B5EF4-FFF2-40B4-BE49-F238E27FC236}">
                <a16:creationId xmlns:a16="http://schemas.microsoft.com/office/drawing/2014/main" id="{00000000-0008-0000-0200-00006B010000}"/>
              </a:ext>
            </a:extLst>
          </xdr:cNvPr>
          <xdr:cNvSpPr/>
        </xdr:nvSpPr>
        <xdr:spPr>
          <a:xfrm>
            <a:off x="14525625" y="185499371"/>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grpSp>
    <xdr:clientData fPrintsWithSheet="0"/>
  </xdr:twoCellAnchor>
  <xdr:twoCellAnchor>
    <xdr:from>
      <xdr:col>13</xdr:col>
      <xdr:colOff>133350</xdr:colOff>
      <xdr:row>823</xdr:row>
      <xdr:rowOff>133350</xdr:rowOff>
    </xdr:from>
    <xdr:to>
      <xdr:col>21</xdr:col>
      <xdr:colOff>123825</xdr:colOff>
      <xdr:row>823</xdr:row>
      <xdr:rowOff>133350</xdr:rowOff>
    </xdr:to>
    <xdr:cxnSp macro="">
      <xdr:nvCxnSpPr>
        <xdr:cNvPr id="368" name="DOTTED_LINE">
          <a:extLst>
            <a:ext uri="{FF2B5EF4-FFF2-40B4-BE49-F238E27FC236}">
              <a16:creationId xmlns:a16="http://schemas.microsoft.com/office/drawing/2014/main" id="{00000000-0008-0000-0200-000070010000}"/>
            </a:ext>
          </a:extLst>
        </xdr:cNvPr>
        <xdr:cNvCxnSpPr/>
      </xdr:nvCxnSpPr>
      <xdr:spPr>
        <a:xfrm>
          <a:off x="10925175" y="243668550"/>
          <a:ext cx="35718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438150</xdr:colOff>
      <xdr:row>825</xdr:row>
      <xdr:rowOff>142875</xdr:rowOff>
    </xdr:from>
    <xdr:to>
      <xdr:col>19</xdr:col>
      <xdr:colOff>95250</xdr:colOff>
      <xdr:row>825</xdr:row>
      <xdr:rowOff>142875</xdr:rowOff>
    </xdr:to>
    <xdr:cxnSp macro="">
      <xdr:nvCxnSpPr>
        <xdr:cNvPr id="369" name="DOTTED_LINE">
          <a:extLst>
            <a:ext uri="{FF2B5EF4-FFF2-40B4-BE49-F238E27FC236}">
              <a16:creationId xmlns:a16="http://schemas.microsoft.com/office/drawing/2014/main" id="{00000000-0008-0000-0200-000071010000}"/>
            </a:ext>
          </a:extLst>
        </xdr:cNvPr>
        <xdr:cNvCxnSpPr/>
      </xdr:nvCxnSpPr>
      <xdr:spPr>
        <a:xfrm>
          <a:off x="9620250" y="244230525"/>
          <a:ext cx="39528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152400</xdr:colOff>
      <xdr:row>827</xdr:row>
      <xdr:rowOff>142875</xdr:rowOff>
    </xdr:from>
    <xdr:to>
      <xdr:col>19</xdr:col>
      <xdr:colOff>104775</xdr:colOff>
      <xdr:row>827</xdr:row>
      <xdr:rowOff>142875</xdr:rowOff>
    </xdr:to>
    <xdr:cxnSp macro="">
      <xdr:nvCxnSpPr>
        <xdr:cNvPr id="370" name="DOTTED_LINE">
          <a:extLst>
            <a:ext uri="{FF2B5EF4-FFF2-40B4-BE49-F238E27FC236}">
              <a16:creationId xmlns:a16="http://schemas.microsoft.com/office/drawing/2014/main" id="{00000000-0008-0000-0200-000072010000}"/>
            </a:ext>
          </a:extLst>
        </xdr:cNvPr>
        <xdr:cNvCxnSpPr/>
      </xdr:nvCxnSpPr>
      <xdr:spPr>
        <a:xfrm>
          <a:off x="10048875" y="244782975"/>
          <a:ext cx="35337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66675</xdr:colOff>
      <xdr:row>828</xdr:row>
      <xdr:rowOff>266698</xdr:rowOff>
    </xdr:from>
    <xdr:to>
      <xdr:col>24</xdr:col>
      <xdr:colOff>104775</xdr:colOff>
      <xdr:row>848</xdr:row>
      <xdr:rowOff>76187</xdr:rowOff>
    </xdr:to>
    <xdr:grpSp>
      <xdr:nvGrpSpPr>
        <xdr:cNvPr id="371" name="Group 370">
          <a:extLst>
            <a:ext uri="{FF2B5EF4-FFF2-40B4-BE49-F238E27FC236}">
              <a16:creationId xmlns:a16="http://schemas.microsoft.com/office/drawing/2014/main" id="{00000000-0008-0000-0200-000073010000}"/>
            </a:ext>
          </a:extLst>
        </xdr:cNvPr>
        <xdr:cNvGrpSpPr/>
      </xdr:nvGrpSpPr>
      <xdr:grpSpPr>
        <a:xfrm>
          <a:off x="66675" y="245183023"/>
          <a:ext cx="7362825" cy="5391139"/>
          <a:chOff x="8191500" y="185499371"/>
          <a:chExt cx="7362825" cy="5563674"/>
        </a:xfrm>
      </xdr:grpSpPr>
      <xdr:grpSp>
        <xdr:nvGrpSpPr>
          <xdr:cNvPr id="372" name="SECTION_GROUP">
            <a:extLst>
              <a:ext uri="{FF2B5EF4-FFF2-40B4-BE49-F238E27FC236}">
                <a16:creationId xmlns:a16="http://schemas.microsoft.com/office/drawing/2014/main" id="{00000000-0008-0000-0200-000074010000}"/>
              </a:ext>
            </a:extLst>
          </xdr:cNvPr>
          <xdr:cNvGrpSpPr/>
        </xdr:nvGrpSpPr>
        <xdr:grpSpPr>
          <a:xfrm>
            <a:off x="8191500" y="185499375"/>
            <a:ext cx="7362824" cy="5563670"/>
            <a:chOff x="9363075" y="17306808"/>
            <a:chExt cx="7362825" cy="5988870"/>
          </a:xfrm>
        </xdr:grpSpPr>
        <xdr:sp macro="" textlink="$B$582">
          <xdr:nvSpPr>
            <xdr:cNvPr id="374" name="SECTION_GROUP_TITLE">
              <a:extLst>
                <a:ext uri="{FF2B5EF4-FFF2-40B4-BE49-F238E27FC236}">
                  <a16:creationId xmlns:a16="http://schemas.microsoft.com/office/drawing/2014/main" id="{00000000-0008-0000-0200-000076010000}"/>
                </a:ext>
              </a:extLst>
            </xdr:cNvPr>
            <xdr:cNvSpPr/>
          </xdr:nvSpPr>
          <xdr:spPr>
            <a:xfrm>
              <a:off x="9363075" y="17306808"/>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D0AAEA90-E605-49AE-981E-E4F2E5E744D4}" type="TxLink">
                <a:rPr lang="en-US" sz="1100" b="1" i="0" u="none" strike="noStrike">
                  <a:solidFill>
                    <a:srgbClr val="FFFFFF"/>
                  </a:solidFill>
                  <a:latin typeface="Arial"/>
                  <a:cs typeface="Arial"/>
                </a:rPr>
                <a:pPr algn="l"/>
                <a:t>Score Summary</a:t>
              </a:fld>
              <a:endParaRPr lang="en-US" sz="800" b="1" i="0" u="none" strike="noStrike">
                <a:solidFill>
                  <a:schemeClr val="bg1"/>
                </a:solidFill>
                <a:latin typeface="Arial" pitchFamily="34" charset="0"/>
                <a:cs typeface="Arial" pitchFamily="34" charset="0"/>
              </a:endParaRPr>
            </a:p>
          </xdr:txBody>
        </xdr:sp>
        <xdr:sp macro="" textlink="">
          <xdr:nvSpPr>
            <xdr:cNvPr id="375" name="SECTION_GROUP_FRAME">
              <a:extLst>
                <a:ext uri="{FF2B5EF4-FFF2-40B4-BE49-F238E27FC236}">
                  <a16:creationId xmlns:a16="http://schemas.microsoft.com/office/drawing/2014/main" id="{00000000-0008-0000-0200-000077010000}"/>
                </a:ext>
              </a:extLst>
            </xdr:cNvPr>
            <xdr:cNvSpPr/>
          </xdr:nvSpPr>
          <xdr:spPr>
            <a:xfrm>
              <a:off x="9363075" y="17641464"/>
              <a:ext cx="7362825" cy="5654214"/>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
          <xdr:nvSpPr>
            <xdr:cNvPr id="376" name="SECTION_GROUP_SUBTITLE">
              <a:extLst>
                <a:ext uri="{FF2B5EF4-FFF2-40B4-BE49-F238E27FC236}">
                  <a16:creationId xmlns:a16="http://schemas.microsoft.com/office/drawing/2014/main" id="{00000000-0008-0000-0200-000078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endParaRPr lang="en-US" sz="800" b="0" i="0" u="none" strike="noStrike">
                <a:solidFill>
                  <a:srgbClr val="000000"/>
                </a:solidFill>
                <a:latin typeface="Arial"/>
                <a:cs typeface="Arial"/>
              </a:endParaRPr>
            </a:p>
          </xdr:txBody>
        </xdr:sp>
      </xdr:grpSp>
      <xdr:sp macro="" textlink="">
        <xdr:nvSpPr>
          <xdr:cNvPr id="373" name="LINK_RENTAL_TOC">
            <a:hlinkClick xmlns:r="http://schemas.openxmlformats.org/officeDocument/2006/relationships" r:id="rId18"/>
            <a:extLst>
              <a:ext uri="{FF2B5EF4-FFF2-40B4-BE49-F238E27FC236}">
                <a16:creationId xmlns:a16="http://schemas.microsoft.com/office/drawing/2014/main" id="{00000000-0008-0000-0200-000075010000}"/>
              </a:ext>
            </a:extLst>
          </xdr:cNvPr>
          <xdr:cNvSpPr/>
        </xdr:nvSpPr>
        <xdr:spPr>
          <a:xfrm>
            <a:off x="14525625" y="185499371"/>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grpSp>
    <xdr:clientData fPrintsWithSheet="0"/>
  </xdr:twoCellAnchor>
  <xdr:oneCellAnchor>
    <xdr:from>
      <xdr:col>16</xdr:col>
      <xdr:colOff>323850</xdr:colOff>
      <xdr:row>25</xdr:row>
      <xdr:rowOff>19050</xdr:rowOff>
    </xdr:from>
    <xdr:ext cx="3343275" cy="264560"/>
    <xdr:sp macro="" textlink="$AC$26">
      <xdr:nvSpPr>
        <xdr:cNvPr id="378" name="TOC_SECTION_LINK">
          <a:hlinkClick xmlns:r="http://schemas.openxmlformats.org/officeDocument/2006/relationships" r:id="rId28"/>
          <a:extLst>
            <a:ext uri="{FF2B5EF4-FFF2-40B4-BE49-F238E27FC236}">
              <a16:creationId xmlns:a16="http://schemas.microsoft.com/office/drawing/2014/main" id="{00000000-0008-0000-0200-00007A010000}"/>
            </a:ext>
          </a:extLst>
        </xdr:cNvPr>
        <xdr:cNvSpPr txBox="1"/>
      </xdr:nvSpPr>
      <xdr:spPr>
        <a:xfrm>
          <a:off x="12192000" y="6067425"/>
          <a:ext cx="334327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2F397597-5FD6-4EF4-9F85-FA6ABF05F529}" type="TxLink">
            <a:rPr lang="en-US" sz="900" b="1" i="0" u="sng" strike="noStrike">
              <a:solidFill>
                <a:srgbClr val="366092"/>
              </a:solidFill>
              <a:latin typeface="Arial"/>
              <a:cs typeface="Arial"/>
            </a:rPr>
            <a:pPr algn="l"/>
            <a:t>Score Summary (Estimated Final Score: 0.00)</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twoCellAnchor>
    <xdr:from>
      <xdr:col>7</xdr:col>
      <xdr:colOff>66675</xdr:colOff>
      <xdr:row>820</xdr:row>
      <xdr:rowOff>19085</xdr:rowOff>
    </xdr:from>
    <xdr:to>
      <xdr:col>12</xdr:col>
      <xdr:colOff>400049</xdr:colOff>
      <xdr:row>821</xdr:row>
      <xdr:rowOff>35</xdr:rowOff>
    </xdr:to>
    <xdr:sp macro="" textlink="$B$581">
      <xdr:nvSpPr>
        <xdr:cNvPr id="392" name="SECTION_GROUP_SUBTITLE_LABEL">
          <a:extLst>
            <a:ext uri="{FF2B5EF4-FFF2-40B4-BE49-F238E27FC236}">
              <a16:creationId xmlns:a16="http://schemas.microsoft.com/office/drawing/2014/main" id="{00000000-0008-0000-0200-000088010000}"/>
            </a:ext>
          </a:extLst>
        </xdr:cNvPr>
        <xdr:cNvSpPr txBox="1"/>
      </xdr:nvSpPr>
      <xdr:spPr>
        <a:xfrm>
          <a:off x="8191500" y="242725610"/>
          <a:ext cx="2285999"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91440" rtlCol="0" anchor="ctr">
          <a:noAutofit/>
        </a:bodyPr>
        <a:lstStyle/>
        <a:p>
          <a:pPr lvl="0" algn="l"/>
          <a:fld id="{3BF41C7A-0EEE-45EC-9D79-DE5D26C9CB3D}" type="TxLink">
            <a:rPr lang="en-US" sz="1000" b="1" i="1" u="none" strike="noStrike">
              <a:solidFill>
                <a:srgbClr val="C0504D"/>
              </a:solidFill>
              <a:latin typeface="Arial"/>
              <a:cs typeface="Arial"/>
            </a:rPr>
            <a:pPr lvl="0" algn="l"/>
            <a:t>Estimated Score: 0</a:t>
          </a:fld>
          <a:endParaRPr lang="en-US" sz="800" b="0" i="1">
            <a:latin typeface="Arial" pitchFamily="34" charset="0"/>
            <a:cs typeface="Arial" pitchFamily="34" charset="0"/>
          </a:endParaRPr>
        </a:p>
      </xdr:txBody>
    </xdr:sp>
    <xdr:clientData/>
  </xdr:twoCellAnchor>
  <xdr:twoCellAnchor>
    <xdr:from>
      <xdr:col>7</xdr:col>
      <xdr:colOff>66675</xdr:colOff>
      <xdr:row>815</xdr:row>
      <xdr:rowOff>28575</xdr:rowOff>
    </xdr:from>
    <xdr:to>
      <xdr:col>12</xdr:col>
      <xdr:colOff>400049</xdr:colOff>
      <xdr:row>816</xdr:row>
      <xdr:rowOff>9525</xdr:rowOff>
    </xdr:to>
    <xdr:sp macro="" textlink="$B$476">
      <xdr:nvSpPr>
        <xdr:cNvPr id="393" name="SECTION_GROUP_SUBTITLE_LABEL">
          <a:extLst>
            <a:ext uri="{FF2B5EF4-FFF2-40B4-BE49-F238E27FC236}">
              <a16:creationId xmlns:a16="http://schemas.microsoft.com/office/drawing/2014/main" id="{00000000-0008-0000-0200-000089010000}"/>
            </a:ext>
          </a:extLst>
        </xdr:cNvPr>
        <xdr:cNvSpPr txBox="1"/>
      </xdr:nvSpPr>
      <xdr:spPr>
        <a:xfrm>
          <a:off x="8191500" y="241353975"/>
          <a:ext cx="2285999"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91440" rtlCol="0" anchor="ctr">
          <a:noAutofit/>
        </a:bodyPr>
        <a:lstStyle/>
        <a:p>
          <a:pPr lvl="0" algn="l"/>
          <a:fld id="{DA494663-68BE-42C3-947E-C0DF520A2E4D}" type="TxLink">
            <a:rPr lang="en-US" sz="1000" b="1" i="1" u="none" strike="noStrike">
              <a:solidFill>
                <a:srgbClr val="C0504D"/>
              </a:solidFill>
              <a:latin typeface="Arial"/>
              <a:cs typeface="Arial"/>
            </a:rPr>
            <a:pPr lvl="0" algn="l"/>
            <a:t>Estimated Score: 0</a:t>
          </a:fld>
          <a:endParaRPr lang="en-US" sz="800" b="0" i="1">
            <a:latin typeface="Arial" pitchFamily="34" charset="0"/>
            <a:cs typeface="Arial" pitchFamily="34" charset="0"/>
          </a:endParaRPr>
        </a:p>
      </xdr:txBody>
    </xdr:sp>
    <xdr:clientData/>
  </xdr:twoCellAnchor>
  <xdr:twoCellAnchor>
    <xdr:from>
      <xdr:col>7</xdr:col>
      <xdr:colOff>66675</xdr:colOff>
      <xdr:row>748</xdr:row>
      <xdr:rowOff>9525</xdr:rowOff>
    </xdr:from>
    <xdr:to>
      <xdr:col>12</xdr:col>
      <xdr:colOff>400049</xdr:colOff>
      <xdr:row>749</xdr:row>
      <xdr:rowOff>0</xdr:rowOff>
    </xdr:to>
    <xdr:sp macro="" textlink="$B$519">
      <xdr:nvSpPr>
        <xdr:cNvPr id="394" name="SECTION_GROUP_SUBTITLE_LABEL">
          <a:extLst>
            <a:ext uri="{FF2B5EF4-FFF2-40B4-BE49-F238E27FC236}">
              <a16:creationId xmlns:a16="http://schemas.microsoft.com/office/drawing/2014/main" id="{00000000-0008-0000-0200-00008A010000}"/>
            </a:ext>
          </a:extLst>
        </xdr:cNvPr>
        <xdr:cNvSpPr txBox="1"/>
      </xdr:nvSpPr>
      <xdr:spPr>
        <a:xfrm>
          <a:off x="8191500" y="222837375"/>
          <a:ext cx="2285999"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91440" rtlCol="0" anchor="ctr">
          <a:noAutofit/>
        </a:bodyPr>
        <a:lstStyle/>
        <a:p>
          <a:pPr lvl="0" algn="l"/>
          <a:fld id="{7448CB24-8692-44C4-9ED8-24624667E149}" type="TxLink">
            <a:rPr lang="en-US" sz="1000" b="1" i="1" u="none" strike="noStrike">
              <a:solidFill>
                <a:srgbClr val="C0504D"/>
              </a:solidFill>
              <a:latin typeface="Arial"/>
              <a:cs typeface="Arial"/>
            </a:rPr>
            <a:pPr lvl="0" algn="l"/>
            <a:t>Estimated Score: 0</a:t>
          </a:fld>
          <a:endParaRPr lang="en-US" sz="800" b="0" i="1">
            <a:latin typeface="Arial" pitchFamily="34" charset="0"/>
            <a:cs typeface="Arial" pitchFamily="34" charset="0"/>
          </a:endParaRPr>
        </a:p>
      </xdr:txBody>
    </xdr:sp>
    <xdr:clientData/>
  </xdr:twoCellAnchor>
  <xdr:twoCellAnchor>
    <xdr:from>
      <xdr:col>7</xdr:col>
      <xdr:colOff>66675</xdr:colOff>
      <xdr:row>605</xdr:row>
      <xdr:rowOff>19050</xdr:rowOff>
    </xdr:from>
    <xdr:to>
      <xdr:col>12</xdr:col>
      <xdr:colOff>400049</xdr:colOff>
      <xdr:row>606</xdr:row>
      <xdr:rowOff>0</xdr:rowOff>
    </xdr:to>
    <xdr:sp macro="" textlink="$B$547">
      <xdr:nvSpPr>
        <xdr:cNvPr id="395" name="SECTION_GROUP_SUBTITLE_LABEL">
          <a:extLst>
            <a:ext uri="{FF2B5EF4-FFF2-40B4-BE49-F238E27FC236}">
              <a16:creationId xmlns:a16="http://schemas.microsoft.com/office/drawing/2014/main" id="{00000000-0008-0000-0200-00008B010000}"/>
            </a:ext>
          </a:extLst>
        </xdr:cNvPr>
        <xdr:cNvSpPr txBox="1"/>
      </xdr:nvSpPr>
      <xdr:spPr>
        <a:xfrm>
          <a:off x="8191500" y="183346725"/>
          <a:ext cx="2285999"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91440" rtlCol="0" anchor="ctr">
          <a:noAutofit/>
        </a:bodyPr>
        <a:lstStyle/>
        <a:p>
          <a:pPr lvl="0" algn="l"/>
          <a:fld id="{1E539A28-1B29-40F0-88ED-F7E488B0C2FA}" type="TxLink">
            <a:rPr lang="en-US" sz="1000" b="1" i="1" u="none" strike="noStrike">
              <a:solidFill>
                <a:srgbClr val="C0504D"/>
              </a:solidFill>
              <a:latin typeface="Arial"/>
              <a:cs typeface="Arial"/>
            </a:rPr>
            <a:pPr lvl="0" algn="l"/>
            <a:t>Estimated Score: 0</a:t>
          </a:fld>
          <a:endParaRPr lang="en-US" sz="800" b="0" i="1">
            <a:latin typeface="Arial" pitchFamily="34" charset="0"/>
            <a:cs typeface="Arial" pitchFamily="34" charset="0"/>
          </a:endParaRPr>
        </a:p>
      </xdr:txBody>
    </xdr:sp>
    <xdr:clientData/>
  </xdr:twoCellAnchor>
  <xdr:twoCellAnchor>
    <xdr:from>
      <xdr:col>7</xdr:col>
      <xdr:colOff>66675</xdr:colOff>
      <xdr:row>550</xdr:row>
      <xdr:rowOff>19050</xdr:rowOff>
    </xdr:from>
    <xdr:to>
      <xdr:col>12</xdr:col>
      <xdr:colOff>400049</xdr:colOff>
      <xdr:row>551</xdr:row>
      <xdr:rowOff>0</xdr:rowOff>
    </xdr:to>
    <xdr:sp macro="" textlink="$B$406">
      <xdr:nvSpPr>
        <xdr:cNvPr id="396" name="SECTION_GROUP_SUBTITLE_LABEL">
          <a:extLst>
            <a:ext uri="{FF2B5EF4-FFF2-40B4-BE49-F238E27FC236}">
              <a16:creationId xmlns:a16="http://schemas.microsoft.com/office/drawing/2014/main" id="{00000000-0008-0000-0200-00008C010000}"/>
            </a:ext>
          </a:extLst>
        </xdr:cNvPr>
        <xdr:cNvSpPr txBox="1"/>
      </xdr:nvSpPr>
      <xdr:spPr>
        <a:xfrm>
          <a:off x="8191500" y="168154350"/>
          <a:ext cx="2285999"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91440" rtlCol="0" anchor="ctr">
          <a:noAutofit/>
        </a:bodyPr>
        <a:lstStyle/>
        <a:p>
          <a:pPr lvl="0" algn="l"/>
          <a:fld id="{5FE7DA5F-98FC-4730-8979-045364E779FA}" type="TxLink">
            <a:rPr lang="en-US" sz="1000" b="1" i="1" u="none" strike="noStrike">
              <a:solidFill>
                <a:srgbClr val="C0504D"/>
              </a:solidFill>
              <a:latin typeface="Arial"/>
              <a:cs typeface="Arial"/>
            </a:rPr>
            <a:pPr lvl="0" algn="l"/>
            <a:t>Estimated Score: 0</a:t>
          </a:fld>
          <a:endParaRPr lang="en-US" sz="800" b="0" i="1">
            <a:latin typeface="Arial" pitchFamily="34" charset="0"/>
            <a:cs typeface="Arial" pitchFamily="34" charset="0"/>
          </a:endParaRPr>
        </a:p>
      </xdr:txBody>
    </xdr:sp>
    <xdr:clientData/>
  </xdr:twoCellAnchor>
  <xdr:twoCellAnchor>
    <xdr:from>
      <xdr:col>7</xdr:col>
      <xdr:colOff>66675</xdr:colOff>
      <xdr:row>541</xdr:row>
      <xdr:rowOff>28572</xdr:rowOff>
    </xdr:from>
    <xdr:to>
      <xdr:col>12</xdr:col>
      <xdr:colOff>400049</xdr:colOff>
      <xdr:row>542</xdr:row>
      <xdr:rowOff>9522</xdr:rowOff>
    </xdr:to>
    <xdr:sp macro="" textlink="$B$444">
      <xdr:nvSpPr>
        <xdr:cNvPr id="397" name="SECTION_GROUP_SUBTITLE_LABEL">
          <a:extLst>
            <a:ext uri="{FF2B5EF4-FFF2-40B4-BE49-F238E27FC236}">
              <a16:creationId xmlns:a16="http://schemas.microsoft.com/office/drawing/2014/main" id="{00000000-0008-0000-0200-00008D010000}"/>
            </a:ext>
          </a:extLst>
        </xdr:cNvPr>
        <xdr:cNvSpPr txBox="1"/>
      </xdr:nvSpPr>
      <xdr:spPr>
        <a:xfrm>
          <a:off x="8191500" y="165677847"/>
          <a:ext cx="2285999"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91440" rtlCol="0" anchor="ctr">
          <a:noAutofit/>
        </a:bodyPr>
        <a:lstStyle/>
        <a:p>
          <a:pPr lvl="0" algn="l"/>
          <a:fld id="{C7BEC6BB-8E7D-4310-AF30-F7B74517EECF}" type="TxLink">
            <a:rPr lang="en-US" sz="1000" b="1" i="1" u="none" strike="noStrike">
              <a:solidFill>
                <a:srgbClr val="C0504D"/>
              </a:solidFill>
              <a:latin typeface="Arial"/>
              <a:cs typeface="Arial"/>
            </a:rPr>
            <a:pPr lvl="0" algn="l"/>
            <a:t>Estimated Score: 0</a:t>
          </a:fld>
          <a:endParaRPr lang="en-US" sz="800" b="0" i="1">
            <a:latin typeface="Arial" pitchFamily="34" charset="0"/>
            <a:cs typeface="Arial" pitchFamily="34" charset="0"/>
          </a:endParaRPr>
        </a:p>
      </xdr:txBody>
    </xdr:sp>
    <xdr:clientData/>
  </xdr:twoCellAnchor>
  <xdr:twoCellAnchor>
    <xdr:from>
      <xdr:col>7</xdr:col>
      <xdr:colOff>66675</xdr:colOff>
      <xdr:row>533</xdr:row>
      <xdr:rowOff>19055</xdr:rowOff>
    </xdr:from>
    <xdr:to>
      <xdr:col>12</xdr:col>
      <xdr:colOff>400049</xdr:colOff>
      <xdr:row>534</xdr:row>
      <xdr:rowOff>5</xdr:rowOff>
    </xdr:to>
    <xdr:sp macro="" textlink="$B$563">
      <xdr:nvSpPr>
        <xdr:cNvPr id="398" name="SECTION_GROUP_SUBTITLE_LABEL">
          <a:extLst>
            <a:ext uri="{FF2B5EF4-FFF2-40B4-BE49-F238E27FC236}">
              <a16:creationId xmlns:a16="http://schemas.microsoft.com/office/drawing/2014/main" id="{00000000-0008-0000-0200-00008E010000}"/>
            </a:ext>
          </a:extLst>
        </xdr:cNvPr>
        <xdr:cNvSpPr txBox="1"/>
      </xdr:nvSpPr>
      <xdr:spPr>
        <a:xfrm>
          <a:off x="8191500" y="163458530"/>
          <a:ext cx="2285999"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91440" rtlCol="0" anchor="ctr">
          <a:noAutofit/>
        </a:bodyPr>
        <a:lstStyle/>
        <a:p>
          <a:pPr lvl="0" algn="l"/>
          <a:fld id="{85801535-CE0A-41C4-927A-750A37217DD6}" type="TxLink">
            <a:rPr lang="en-US" sz="1000" b="1" i="1" u="none" strike="noStrike">
              <a:solidFill>
                <a:srgbClr val="C0504D"/>
              </a:solidFill>
              <a:latin typeface="Arial"/>
              <a:cs typeface="Arial"/>
            </a:rPr>
            <a:pPr lvl="0" algn="l"/>
            <a:t>Estimated Score: 0</a:t>
          </a:fld>
          <a:endParaRPr lang="en-US" sz="800" b="0" i="1">
            <a:latin typeface="Arial" pitchFamily="34" charset="0"/>
            <a:cs typeface="Arial" pitchFamily="34" charset="0"/>
          </a:endParaRPr>
        </a:p>
      </xdr:txBody>
    </xdr:sp>
    <xdr:clientData/>
  </xdr:twoCellAnchor>
  <xdr:twoCellAnchor>
    <xdr:from>
      <xdr:col>7</xdr:col>
      <xdr:colOff>66675</xdr:colOff>
      <xdr:row>518</xdr:row>
      <xdr:rowOff>19042</xdr:rowOff>
    </xdr:from>
    <xdr:to>
      <xdr:col>12</xdr:col>
      <xdr:colOff>400049</xdr:colOff>
      <xdr:row>518</xdr:row>
      <xdr:rowOff>276217</xdr:rowOff>
    </xdr:to>
    <xdr:sp macro="" textlink="$B$427">
      <xdr:nvSpPr>
        <xdr:cNvPr id="399" name="SECTION_GROUP_SUBTITLE_LABEL">
          <a:extLst>
            <a:ext uri="{FF2B5EF4-FFF2-40B4-BE49-F238E27FC236}">
              <a16:creationId xmlns:a16="http://schemas.microsoft.com/office/drawing/2014/main" id="{00000000-0008-0000-0200-00008F010000}"/>
            </a:ext>
          </a:extLst>
        </xdr:cNvPr>
        <xdr:cNvSpPr txBox="1"/>
      </xdr:nvSpPr>
      <xdr:spPr>
        <a:xfrm>
          <a:off x="8191500" y="159315142"/>
          <a:ext cx="2285999"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91440" rtlCol="0" anchor="ctr">
          <a:noAutofit/>
        </a:bodyPr>
        <a:lstStyle/>
        <a:p>
          <a:pPr lvl="0" algn="l"/>
          <a:fld id="{39BE2EA7-2FDF-44E7-9CAA-05F202418A64}" type="TxLink">
            <a:rPr lang="en-US" sz="1000" b="1" i="1" u="none" strike="noStrike">
              <a:solidFill>
                <a:srgbClr val="C0504D"/>
              </a:solidFill>
              <a:latin typeface="Arial"/>
              <a:cs typeface="Arial"/>
            </a:rPr>
            <a:pPr lvl="0" algn="l"/>
            <a:t>Estimated Score: 0</a:t>
          </a:fld>
          <a:endParaRPr lang="en-US" sz="800" b="0" i="1">
            <a:latin typeface="Arial" pitchFamily="34" charset="0"/>
            <a:cs typeface="Arial" pitchFamily="34" charset="0"/>
          </a:endParaRPr>
        </a:p>
      </xdr:txBody>
    </xdr:sp>
    <xdr:clientData/>
  </xdr:twoCellAnchor>
  <xdr:twoCellAnchor>
    <xdr:from>
      <xdr:col>7</xdr:col>
      <xdr:colOff>66675</xdr:colOff>
      <xdr:row>496</xdr:row>
      <xdr:rowOff>19050</xdr:rowOff>
    </xdr:from>
    <xdr:to>
      <xdr:col>12</xdr:col>
      <xdr:colOff>400049</xdr:colOff>
      <xdr:row>497</xdr:row>
      <xdr:rowOff>0</xdr:rowOff>
    </xdr:to>
    <xdr:sp macro="" textlink="$B$384">
      <xdr:nvSpPr>
        <xdr:cNvPr id="400" name="SECTION_GROUP_SUBTITLE_LABEL">
          <a:extLst>
            <a:ext uri="{FF2B5EF4-FFF2-40B4-BE49-F238E27FC236}">
              <a16:creationId xmlns:a16="http://schemas.microsoft.com/office/drawing/2014/main" id="{00000000-0008-0000-0200-000090010000}"/>
            </a:ext>
          </a:extLst>
        </xdr:cNvPr>
        <xdr:cNvSpPr txBox="1"/>
      </xdr:nvSpPr>
      <xdr:spPr>
        <a:xfrm>
          <a:off x="8191500" y="146227800"/>
          <a:ext cx="2285999"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91440" rtlCol="0" anchor="ctr">
          <a:noAutofit/>
        </a:bodyPr>
        <a:lstStyle/>
        <a:p>
          <a:pPr lvl="0" algn="l"/>
          <a:fld id="{955D19A1-F79B-4092-9450-CE6BE6841C04}" type="TxLink">
            <a:rPr lang="en-US" sz="1000" b="1" i="1" u="none" strike="noStrike">
              <a:solidFill>
                <a:srgbClr val="C0504D"/>
              </a:solidFill>
              <a:latin typeface="Arial"/>
              <a:cs typeface="Arial"/>
            </a:rPr>
            <a:pPr lvl="0" algn="l"/>
            <a:t>Estimated Score: 0</a:t>
          </a:fld>
          <a:endParaRPr lang="en-US" sz="800" b="0" i="1">
            <a:latin typeface="Arial" pitchFamily="34" charset="0"/>
            <a:cs typeface="Arial" pitchFamily="34" charset="0"/>
          </a:endParaRPr>
        </a:p>
      </xdr:txBody>
    </xdr:sp>
    <xdr:clientData/>
  </xdr:twoCellAnchor>
  <xdr:twoCellAnchor>
    <xdr:from>
      <xdr:col>7</xdr:col>
      <xdr:colOff>66675</xdr:colOff>
      <xdr:row>481</xdr:row>
      <xdr:rowOff>19048</xdr:rowOff>
    </xdr:from>
    <xdr:to>
      <xdr:col>12</xdr:col>
      <xdr:colOff>400049</xdr:colOff>
      <xdr:row>481</xdr:row>
      <xdr:rowOff>276223</xdr:rowOff>
    </xdr:to>
    <xdr:sp macro="" textlink="$B$460">
      <xdr:nvSpPr>
        <xdr:cNvPr id="401" name="SECTION_GROUP_SUBTITLE_LABEL">
          <a:extLst>
            <a:ext uri="{FF2B5EF4-FFF2-40B4-BE49-F238E27FC236}">
              <a16:creationId xmlns:a16="http://schemas.microsoft.com/office/drawing/2014/main" id="{00000000-0008-0000-0200-000091010000}"/>
            </a:ext>
          </a:extLst>
        </xdr:cNvPr>
        <xdr:cNvSpPr txBox="1"/>
      </xdr:nvSpPr>
      <xdr:spPr>
        <a:xfrm>
          <a:off x="8191500" y="142084423"/>
          <a:ext cx="2285999"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91440" rtlCol="0" anchor="ctr">
          <a:noAutofit/>
        </a:bodyPr>
        <a:lstStyle/>
        <a:p>
          <a:pPr lvl="0" algn="l"/>
          <a:fld id="{C8987E6A-789E-407D-AB2B-769FA6CEC99C}" type="TxLink">
            <a:rPr lang="en-US" sz="1000" b="1" i="1" u="none" strike="noStrike">
              <a:solidFill>
                <a:srgbClr val="C0504D"/>
              </a:solidFill>
              <a:latin typeface="Arial"/>
              <a:cs typeface="Arial"/>
            </a:rPr>
            <a:pPr lvl="0" algn="l"/>
            <a:t>Estimated Score: 0</a:t>
          </a:fld>
          <a:endParaRPr lang="en-US" sz="800" b="0" i="1">
            <a:latin typeface="Arial" pitchFamily="34" charset="0"/>
            <a:cs typeface="Arial" pitchFamily="34" charset="0"/>
          </a:endParaRPr>
        </a:p>
      </xdr:txBody>
    </xdr:sp>
    <xdr:clientData/>
  </xdr:twoCellAnchor>
  <xdr:twoCellAnchor>
    <xdr:from>
      <xdr:col>7</xdr:col>
      <xdr:colOff>66675</xdr:colOff>
      <xdr:row>440</xdr:row>
      <xdr:rowOff>19049</xdr:rowOff>
    </xdr:from>
    <xdr:to>
      <xdr:col>12</xdr:col>
      <xdr:colOff>400049</xdr:colOff>
      <xdr:row>440</xdr:row>
      <xdr:rowOff>276224</xdr:rowOff>
    </xdr:to>
    <xdr:sp macro="" textlink="$B$365">
      <xdr:nvSpPr>
        <xdr:cNvPr id="402" name="SECTION_GROUP_SUBTITLE_LABEL">
          <a:extLst>
            <a:ext uri="{FF2B5EF4-FFF2-40B4-BE49-F238E27FC236}">
              <a16:creationId xmlns:a16="http://schemas.microsoft.com/office/drawing/2014/main" id="{00000000-0008-0000-0200-000092010000}"/>
            </a:ext>
          </a:extLst>
        </xdr:cNvPr>
        <xdr:cNvSpPr txBox="1"/>
      </xdr:nvSpPr>
      <xdr:spPr>
        <a:xfrm>
          <a:off x="8191500" y="130759199"/>
          <a:ext cx="2285999"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91440" rtlCol="0" anchor="ctr">
          <a:noAutofit/>
        </a:bodyPr>
        <a:lstStyle/>
        <a:p>
          <a:pPr lvl="0" algn="l"/>
          <a:fld id="{0AF8D95C-0750-4151-B5C6-BB3551EFCDD9}" type="TxLink">
            <a:rPr lang="en-US" sz="1000" b="1" i="1" u="none" strike="noStrike">
              <a:solidFill>
                <a:srgbClr val="C0504D"/>
              </a:solidFill>
              <a:latin typeface="Arial"/>
              <a:cs typeface="Arial"/>
            </a:rPr>
            <a:pPr lvl="0" algn="l"/>
            <a:t>Estimated Score: 0</a:t>
          </a:fld>
          <a:endParaRPr lang="en-US" sz="800" b="0" i="1">
            <a:latin typeface="Arial" pitchFamily="34" charset="0"/>
            <a:cs typeface="Arial" pitchFamily="34" charset="0"/>
          </a:endParaRPr>
        </a:p>
      </xdr:txBody>
    </xdr:sp>
    <xdr:clientData/>
  </xdr:twoCellAnchor>
  <xdr:twoCellAnchor>
    <xdr:from>
      <xdr:col>7</xdr:col>
      <xdr:colOff>66675</xdr:colOff>
      <xdr:row>388</xdr:row>
      <xdr:rowOff>47625</xdr:rowOff>
    </xdr:from>
    <xdr:to>
      <xdr:col>12</xdr:col>
      <xdr:colOff>400049</xdr:colOff>
      <xdr:row>389</xdr:row>
      <xdr:rowOff>28575</xdr:rowOff>
    </xdr:to>
    <xdr:sp macro="" textlink="$B$338">
      <xdr:nvSpPr>
        <xdr:cNvPr id="403" name="SECTION_GROUP_SUBTITLE_LABEL">
          <a:extLst>
            <a:ext uri="{FF2B5EF4-FFF2-40B4-BE49-F238E27FC236}">
              <a16:creationId xmlns:a16="http://schemas.microsoft.com/office/drawing/2014/main" id="{00000000-0008-0000-0200-000093010000}"/>
            </a:ext>
          </a:extLst>
        </xdr:cNvPr>
        <xdr:cNvSpPr txBox="1"/>
      </xdr:nvSpPr>
      <xdr:spPr>
        <a:xfrm>
          <a:off x="8191500" y="116424075"/>
          <a:ext cx="2285999"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91440" rtlCol="0" anchor="ctr">
          <a:noAutofit/>
        </a:bodyPr>
        <a:lstStyle/>
        <a:p>
          <a:pPr lvl="0" algn="l"/>
          <a:fld id="{8B5E8F5E-EA53-4EA5-99ED-9108FCE6FC5D}" type="TxLink">
            <a:rPr lang="en-US" sz="1000" b="1" i="1" u="none" strike="noStrike">
              <a:solidFill>
                <a:srgbClr val="C0504D"/>
              </a:solidFill>
              <a:latin typeface="Arial"/>
              <a:cs typeface="Arial"/>
            </a:rPr>
            <a:pPr lvl="0" algn="l"/>
            <a:t>Estimated Score: 0</a:t>
          </a:fld>
          <a:endParaRPr lang="en-US" sz="800" b="0" i="1">
            <a:latin typeface="Arial" pitchFamily="34" charset="0"/>
            <a:cs typeface="Arial" pitchFamily="34" charset="0"/>
          </a:endParaRPr>
        </a:p>
      </xdr:txBody>
    </xdr:sp>
    <xdr:clientData/>
  </xdr:twoCellAnchor>
  <xdr:twoCellAnchor>
    <xdr:from>
      <xdr:col>7</xdr:col>
      <xdr:colOff>66675</xdr:colOff>
      <xdr:row>367</xdr:row>
      <xdr:rowOff>19048</xdr:rowOff>
    </xdr:from>
    <xdr:to>
      <xdr:col>12</xdr:col>
      <xdr:colOff>400049</xdr:colOff>
      <xdr:row>367</xdr:row>
      <xdr:rowOff>276223</xdr:rowOff>
    </xdr:to>
    <xdr:sp macro="" textlink="$B$298">
      <xdr:nvSpPr>
        <xdr:cNvPr id="404" name="SECTION_GROUP_SUBTITLE_LABEL">
          <a:extLst>
            <a:ext uri="{FF2B5EF4-FFF2-40B4-BE49-F238E27FC236}">
              <a16:creationId xmlns:a16="http://schemas.microsoft.com/office/drawing/2014/main" id="{00000000-0008-0000-0200-000094010000}"/>
            </a:ext>
          </a:extLst>
        </xdr:cNvPr>
        <xdr:cNvSpPr txBox="1"/>
      </xdr:nvSpPr>
      <xdr:spPr>
        <a:xfrm>
          <a:off x="8191500" y="110594773"/>
          <a:ext cx="2285999"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91440" rtlCol="0" anchor="ctr">
          <a:noAutofit/>
        </a:bodyPr>
        <a:lstStyle/>
        <a:p>
          <a:pPr lvl="0" algn="l"/>
          <a:fld id="{6E739E63-5312-426F-8582-FDDB390A3B21}" type="TxLink">
            <a:rPr lang="en-US" sz="1000" b="1" i="1" u="none" strike="noStrike">
              <a:solidFill>
                <a:srgbClr val="C0504D"/>
              </a:solidFill>
              <a:latin typeface="Arial"/>
              <a:cs typeface="Arial"/>
            </a:rPr>
            <a:pPr lvl="0" algn="l"/>
            <a:t>Estimated Score: 0</a:t>
          </a:fld>
          <a:endParaRPr lang="en-US" sz="800" b="0" i="1">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352425</xdr:colOff>
      <xdr:row>0</xdr:row>
      <xdr:rowOff>0</xdr:rowOff>
    </xdr:from>
    <xdr:to>
      <xdr:col>19</xdr:col>
      <xdr:colOff>147638</xdr:colOff>
      <xdr:row>0</xdr:row>
      <xdr:rowOff>476250</xdr:rowOff>
    </xdr:to>
    <xdr:sp macro="" textlink="">
      <xdr:nvSpPr>
        <xdr:cNvPr id="4" name="HEADER_BANNER_TITLE">
          <a:extLst>
            <a:ext uri="{FF2B5EF4-FFF2-40B4-BE49-F238E27FC236}">
              <a16:creationId xmlns:a16="http://schemas.microsoft.com/office/drawing/2014/main" id="{00000000-0008-0000-0300-000004000000}"/>
            </a:ext>
          </a:extLst>
        </xdr:cNvPr>
        <xdr:cNvSpPr txBox="1"/>
      </xdr:nvSpPr>
      <xdr:spPr>
        <a:xfrm>
          <a:off x="4991100" y="0"/>
          <a:ext cx="2481263"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050" b="0" i="0" u="none" strike="noStrike">
              <a:solidFill>
                <a:schemeClr val="tx1"/>
              </a:solidFill>
              <a:latin typeface="Arial" pitchFamily="34" charset="0"/>
              <a:cs typeface="Arial" pitchFamily="34" charset="0"/>
            </a:rPr>
            <a:t> </a:t>
          </a:r>
        </a:p>
      </xdr:txBody>
    </xdr:sp>
    <xdr:clientData/>
  </xdr:twoCellAnchor>
  <xdr:twoCellAnchor editAs="oneCell">
    <xdr:from>
      <xdr:col>2</xdr:col>
      <xdr:colOff>57150</xdr:colOff>
      <xdr:row>0</xdr:row>
      <xdr:rowOff>57150</xdr:rowOff>
    </xdr:from>
    <xdr:to>
      <xdr:col>5</xdr:col>
      <xdr:colOff>106299</xdr:colOff>
      <xdr:row>0</xdr:row>
      <xdr:rowOff>527859</xdr:rowOff>
    </xdr:to>
    <xdr:pic>
      <xdr:nvPicPr>
        <xdr:cNvPr id="3" name="COMPANY_LOGO">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7150" y="57150"/>
          <a:ext cx="1106424" cy="470709"/>
        </a:xfrm>
        <a:prstGeom prst="rect">
          <a:avLst/>
        </a:prstGeom>
      </xdr:spPr>
    </xdr:pic>
    <xdr:clientData/>
  </xdr:twoCellAnchor>
  <xdr:twoCellAnchor editAs="oneCell">
    <xdr:from>
      <xdr:col>15</xdr:col>
      <xdr:colOff>66675</xdr:colOff>
      <xdr:row>0</xdr:row>
      <xdr:rowOff>9525</xdr:rowOff>
    </xdr:from>
    <xdr:to>
      <xdr:col>19</xdr:col>
      <xdr:colOff>109538</xdr:colOff>
      <xdr:row>0</xdr:row>
      <xdr:rowOff>485775</xdr:rowOff>
    </xdr:to>
    <xdr:sp macro="" textlink="">
      <xdr:nvSpPr>
        <xdr:cNvPr id="5" name="HEADER_BANNER_TITLE">
          <a:extLst>
            <a:ext uri="{FF2B5EF4-FFF2-40B4-BE49-F238E27FC236}">
              <a16:creationId xmlns:a16="http://schemas.microsoft.com/office/drawing/2014/main" id="{00000000-0008-0000-0300-000005000000}"/>
            </a:ext>
          </a:extLst>
        </xdr:cNvPr>
        <xdr:cNvSpPr txBox="1"/>
      </xdr:nvSpPr>
      <xdr:spPr>
        <a:xfrm>
          <a:off x="5600700" y="9525"/>
          <a:ext cx="1833563"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200" b="0" i="0" u="none" strike="noStrike">
              <a:solidFill>
                <a:schemeClr val="tx1"/>
              </a:solidFill>
              <a:latin typeface="Arial" pitchFamily="34" charset="0"/>
              <a:cs typeface="Arial" pitchFamily="34" charset="0"/>
            </a:rPr>
            <a:t>AHP</a:t>
          </a:r>
          <a:r>
            <a:rPr lang="en-US" sz="1200" b="0" i="0" u="none" strike="noStrike" baseline="0">
              <a:solidFill>
                <a:schemeClr val="tx1"/>
              </a:solidFill>
              <a:latin typeface="Arial" pitchFamily="34" charset="0"/>
              <a:cs typeface="Arial" pitchFamily="34" charset="0"/>
            </a:rPr>
            <a:t> eForm</a:t>
          </a:r>
          <a:endParaRPr lang="en-US" sz="1200" b="0" i="0" u="none" strike="noStrike">
            <a:solidFill>
              <a:schemeClr val="tx1"/>
            </a:solidFill>
            <a:latin typeface="Arial" pitchFamily="34" charset="0"/>
            <a:cs typeface="Arial" pitchFamily="34" charset="0"/>
          </a:endParaRPr>
        </a:p>
      </xdr:txBody>
    </xdr:sp>
    <xdr:clientData/>
  </xdr:twoCellAnchor>
  <xdr:twoCellAnchor editAs="oneCell">
    <xdr:from>
      <xdr:col>15</xdr:col>
      <xdr:colOff>66675</xdr:colOff>
      <xdr:row>1</xdr:row>
      <xdr:rowOff>47625</xdr:rowOff>
    </xdr:from>
    <xdr:to>
      <xdr:col>19</xdr:col>
      <xdr:colOff>109538</xdr:colOff>
      <xdr:row>1</xdr:row>
      <xdr:rowOff>230505</xdr:rowOff>
    </xdr:to>
    <xdr:sp macro="" textlink="$B$3">
      <xdr:nvSpPr>
        <xdr:cNvPr id="6" name="HEADER_BANNER_SUBTITLE">
          <a:extLst>
            <a:ext uri="{FF2B5EF4-FFF2-40B4-BE49-F238E27FC236}">
              <a16:creationId xmlns:a16="http://schemas.microsoft.com/office/drawing/2014/main" id="{00000000-0008-0000-0300-000006000000}"/>
            </a:ext>
          </a:extLst>
        </xdr:cNvPr>
        <xdr:cNvSpPr txBox="1"/>
      </xdr:nvSpPr>
      <xdr:spPr>
        <a:xfrm>
          <a:off x="5600700" y="561975"/>
          <a:ext cx="1833563" cy="182880"/>
        </a:xfrm>
        <a:prstGeom prst="rect">
          <a:avLst/>
        </a:prstGeom>
        <a:solidFill>
          <a:srgbClr val="69747A"/>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fld id="{840D96E5-ABC2-48B3-A0CB-E605811ED4E5}" type="TxLink">
            <a:rPr lang="en-US" sz="700" b="1" i="0" u="none" strike="noStrike">
              <a:solidFill>
                <a:schemeClr val="bg1"/>
              </a:solidFill>
              <a:latin typeface="Arial" pitchFamily="34" charset="0"/>
              <a:cs typeface="Arial" pitchFamily="34" charset="0"/>
            </a:rPr>
            <a:pPr algn="ctr"/>
            <a:t>eForm Version 6.0.3</a:t>
          </a:fld>
          <a:endParaRPr lang="en-US" sz="900" b="1" i="0" u="none" strike="noStrike">
            <a:solidFill>
              <a:schemeClr val="bg1"/>
            </a:solidFill>
            <a:latin typeface="Arial" pitchFamily="34" charset="0"/>
            <a:cs typeface="Arial" pitchFamily="34" charset="0"/>
          </a:endParaRPr>
        </a:p>
      </xdr:txBody>
    </xdr:sp>
    <xdr:clientData/>
  </xdr:twoCellAnchor>
  <xdr:twoCellAnchor editAs="oneCell">
    <xdr:from>
      <xdr:col>2</xdr:col>
      <xdr:colOff>66675</xdr:colOff>
      <xdr:row>2</xdr:row>
      <xdr:rowOff>238125</xdr:rowOff>
    </xdr:from>
    <xdr:to>
      <xdr:col>19</xdr:col>
      <xdr:colOff>104839</xdr:colOff>
      <xdr:row>9</xdr:row>
      <xdr:rowOff>85725</xdr:rowOff>
    </xdr:to>
    <xdr:grpSp>
      <xdr:nvGrpSpPr>
        <xdr:cNvPr id="8" name="CONFIG_FRAME">
          <a:extLst>
            <a:ext uri="{FF2B5EF4-FFF2-40B4-BE49-F238E27FC236}">
              <a16:creationId xmlns:a16="http://schemas.microsoft.com/office/drawing/2014/main" id="{00000000-0008-0000-0300-000008000000}"/>
            </a:ext>
          </a:extLst>
        </xdr:cNvPr>
        <xdr:cNvGrpSpPr/>
      </xdr:nvGrpSpPr>
      <xdr:grpSpPr>
        <a:xfrm>
          <a:off x="66675" y="1076325"/>
          <a:ext cx="7362889" cy="1781175"/>
          <a:chOff x="8180191" y="1298424"/>
          <a:chExt cx="7362825" cy="1779062"/>
        </a:xfrm>
      </xdr:grpSpPr>
      <xdr:sp macro="" textlink="">
        <xdr:nvSpPr>
          <xdr:cNvPr id="17" name="CONFIG_FRAME_SUBTITLE">
            <a:extLst>
              <a:ext uri="{FF2B5EF4-FFF2-40B4-BE49-F238E27FC236}">
                <a16:creationId xmlns:a16="http://schemas.microsoft.com/office/drawing/2014/main" id="{00000000-0008-0000-0300-000011000000}"/>
              </a:ext>
            </a:extLst>
          </xdr:cNvPr>
          <xdr:cNvSpPr/>
        </xdr:nvSpPr>
        <xdr:spPr>
          <a:xfrm>
            <a:off x="8180191" y="1623397"/>
            <a:ext cx="7360921" cy="275969"/>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900" b="1">
                <a:solidFill>
                  <a:schemeClr val="dk1"/>
                </a:solidFill>
                <a:latin typeface="Arial" pitchFamily="34" charset="0"/>
                <a:ea typeface="+mn-ea"/>
                <a:cs typeface="Arial" pitchFamily="34" charset="0"/>
              </a:rPr>
              <a:t>Round Specific Settings &amp; Thresholds</a:t>
            </a:r>
            <a:endParaRPr lang="en-US" sz="900">
              <a:latin typeface="Arial" pitchFamily="34" charset="0"/>
              <a:cs typeface="Arial" pitchFamily="34" charset="0"/>
            </a:endParaRPr>
          </a:p>
        </xdr:txBody>
      </xdr:sp>
      <xdr:grpSp>
        <xdr:nvGrpSpPr>
          <xdr:cNvPr id="18" name="TOC">
            <a:extLst>
              <a:ext uri="{FF2B5EF4-FFF2-40B4-BE49-F238E27FC236}">
                <a16:creationId xmlns:a16="http://schemas.microsoft.com/office/drawing/2014/main" id="{00000000-0008-0000-0300-000012000000}"/>
              </a:ext>
            </a:extLst>
          </xdr:cNvPr>
          <xdr:cNvGrpSpPr/>
        </xdr:nvGrpSpPr>
        <xdr:grpSpPr>
          <a:xfrm>
            <a:off x="8180191" y="1298424"/>
            <a:ext cx="7362825" cy="1779062"/>
            <a:chOff x="9227941" y="1834109"/>
            <a:chExt cx="7362825" cy="1371670"/>
          </a:xfrm>
          <a:effectLst/>
        </xdr:grpSpPr>
        <xdr:sp macro="" textlink="">
          <xdr:nvSpPr>
            <xdr:cNvPr id="23" name="CONFIG_FRAME_BORDER">
              <a:extLst>
                <a:ext uri="{FF2B5EF4-FFF2-40B4-BE49-F238E27FC236}">
                  <a16:creationId xmlns:a16="http://schemas.microsoft.com/office/drawing/2014/main" id="{00000000-0008-0000-0300-000017000000}"/>
                </a:ext>
              </a:extLst>
            </xdr:cNvPr>
            <xdr:cNvSpPr/>
          </xdr:nvSpPr>
          <xdr:spPr>
            <a:xfrm>
              <a:off x="9227941" y="2083505"/>
              <a:ext cx="7362825" cy="1122274"/>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a:latin typeface="Arial" pitchFamily="34" charset="0"/>
                <a:cs typeface="Arial" pitchFamily="34" charset="0"/>
              </a:endParaRPr>
            </a:p>
          </xdr:txBody>
        </xdr:sp>
        <xdr:sp macro="" textlink="">
          <xdr:nvSpPr>
            <xdr:cNvPr id="24" name="CONFIG_FRAME_TITLE">
              <a:extLst>
                <a:ext uri="{FF2B5EF4-FFF2-40B4-BE49-F238E27FC236}">
                  <a16:creationId xmlns:a16="http://schemas.microsoft.com/office/drawing/2014/main" id="{00000000-0008-0000-0300-000018000000}"/>
                </a:ext>
              </a:extLst>
            </xdr:cNvPr>
            <xdr:cNvSpPr/>
          </xdr:nvSpPr>
          <xdr:spPr>
            <a:xfrm>
              <a:off x="9227941" y="1834109"/>
              <a:ext cx="7360856" cy="239704"/>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r>
                <a:rPr lang="en-US" sz="1050" b="1">
                  <a:solidFill>
                    <a:schemeClr val="bg1"/>
                  </a:solidFill>
                  <a:latin typeface="Arial" pitchFamily="34" charset="0"/>
                  <a:cs typeface="Arial" pitchFamily="34" charset="0"/>
                </a:rPr>
                <a:t>Round</a:t>
              </a:r>
              <a:r>
                <a:rPr lang="en-US" sz="1050" b="1" baseline="0">
                  <a:solidFill>
                    <a:schemeClr val="bg1"/>
                  </a:solidFill>
                  <a:latin typeface="Arial" pitchFamily="34" charset="0"/>
                  <a:cs typeface="Arial" pitchFamily="34" charset="0"/>
                </a:rPr>
                <a:t> Maintenance</a:t>
              </a:r>
              <a:endParaRPr lang="en-US" sz="1050" b="1">
                <a:solidFill>
                  <a:schemeClr val="bg1"/>
                </a:solidFill>
                <a:latin typeface="Arial" pitchFamily="34" charset="0"/>
                <a:cs typeface="Arial" pitchFamily="34" charset="0"/>
              </a:endParaRPr>
            </a:p>
          </xdr:txBody>
        </xdr:sp>
      </xdr:grpSp>
    </xdr:grpSp>
    <xdr:clientData fPrintsWithSheet="0"/>
  </xdr:twoCellAnchor>
  <xdr:twoCellAnchor editAs="oneCell">
    <xdr:from>
      <xdr:col>2</xdr:col>
      <xdr:colOff>66674</xdr:colOff>
      <xdr:row>17</xdr:row>
      <xdr:rowOff>19047</xdr:rowOff>
    </xdr:from>
    <xdr:to>
      <xdr:col>19</xdr:col>
      <xdr:colOff>104838</xdr:colOff>
      <xdr:row>24</xdr:row>
      <xdr:rowOff>114299</xdr:rowOff>
    </xdr:to>
    <xdr:grpSp>
      <xdr:nvGrpSpPr>
        <xdr:cNvPr id="25" name="CONFIG_FRAME">
          <a:extLst>
            <a:ext uri="{FF2B5EF4-FFF2-40B4-BE49-F238E27FC236}">
              <a16:creationId xmlns:a16="http://schemas.microsoft.com/office/drawing/2014/main" id="{00000000-0008-0000-0300-000019000000}"/>
            </a:ext>
          </a:extLst>
        </xdr:cNvPr>
        <xdr:cNvGrpSpPr/>
      </xdr:nvGrpSpPr>
      <xdr:grpSpPr>
        <a:xfrm>
          <a:off x="66674" y="5000622"/>
          <a:ext cx="7362889" cy="2028827"/>
          <a:chOff x="8180191" y="1298422"/>
          <a:chExt cx="7362825" cy="1457108"/>
        </a:xfrm>
      </xdr:grpSpPr>
      <xdr:sp macro="" textlink="">
        <xdr:nvSpPr>
          <xdr:cNvPr id="26" name="CONFIG_FRAME_SUBTITLE">
            <a:extLst>
              <a:ext uri="{FF2B5EF4-FFF2-40B4-BE49-F238E27FC236}">
                <a16:creationId xmlns:a16="http://schemas.microsoft.com/office/drawing/2014/main" id="{00000000-0008-0000-0300-00001A000000}"/>
              </a:ext>
            </a:extLst>
          </xdr:cNvPr>
          <xdr:cNvSpPr/>
        </xdr:nvSpPr>
        <xdr:spPr>
          <a:xfrm>
            <a:off x="8180192" y="1505949"/>
            <a:ext cx="7360921" cy="181111"/>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900" b="1">
                <a:solidFill>
                  <a:schemeClr val="dk1"/>
                </a:solidFill>
                <a:latin typeface="Arial" pitchFamily="34" charset="0"/>
                <a:ea typeface="+mn-ea"/>
                <a:cs typeface="Arial" pitchFamily="34" charset="0"/>
              </a:rPr>
              <a:t>Character Limit Settings for Narrative</a:t>
            </a:r>
            <a:r>
              <a:rPr lang="en-US" sz="900" b="1" baseline="0">
                <a:solidFill>
                  <a:schemeClr val="dk1"/>
                </a:solidFill>
                <a:latin typeface="Arial" pitchFamily="34" charset="0"/>
                <a:ea typeface="+mn-ea"/>
                <a:cs typeface="Arial" pitchFamily="34" charset="0"/>
              </a:rPr>
              <a:t> Fields (Rental &amp; Owner Application)</a:t>
            </a:r>
          </a:p>
        </xdr:txBody>
      </xdr:sp>
      <xdr:grpSp>
        <xdr:nvGrpSpPr>
          <xdr:cNvPr id="27" name="TOC">
            <a:extLst>
              <a:ext uri="{FF2B5EF4-FFF2-40B4-BE49-F238E27FC236}">
                <a16:creationId xmlns:a16="http://schemas.microsoft.com/office/drawing/2014/main" id="{00000000-0008-0000-0300-00001B000000}"/>
              </a:ext>
            </a:extLst>
          </xdr:cNvPr>
          <xdr:cNvGrpSpPr/>
        </xdr:nvGrpSpPr>
        <xdr:grpSpPr>
          <a:xfrm>
            <a:off x="8180191" y="1298422"/>
            <a:ext cx="7362825" cy="1457108"/>
            <a:chOff x="9227941" y="1834109"/>
            <a:chExt cx="7362825" cy="1123442"/>
          </a:xfrm>
          <a:effectLst/>
        </xdr:grpSpPr>
        <xdr:sp macro="" textlink="">
          <xdr:nvSpPr>
            <xdr:cNvPr id="29" name="CONFIG_FRAME_BORDER">
              <a:extLst>
                <a:ext uri="{FF2B5EF4-FFF2-40B4-BE49-F238E27FC236}">
                  <a16:creationId xmlns:a16="http://schemas.microsoft.com/office/drawing/2014/main" id="{00000000-0008-0000-0300-00001D000000}"/>
                </a:ext>
              </a:extLst>
            </xdr:cNvPr>
            <xdr:cNvSpPr/>
          </xdr:nvSpPr>
          <xdr:spPr>
            <a:xfrm>
              <a:off x="9227941" y="1994111"/>
              <a:ext cx="7362825" cy="963440"/>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a:latin typeface="Arial" pitchFamily="34" charset="0"/>
                <a:cs typeface="Arial" pitchFamily="34" charset="0"/>
              </a:endParaRPr>
            </a:p>
          </xdr:txBody>
        </xdr:sp>
        <xdr:sp macro="" textlink="">
          <xdr:nvSpPr>
            <xdr:cNvPr id="30" name="CONFIG_FRAME_TITLE">
              <a:extLst>
                <a:ext uri="{FF2B5EF4-FFF2-40B4-BE49-F238E27FC236}">
                  <a16:creationId xmlns:a16="http://schemas.microsoft.com/office/drawing/2014/main" id="{00000000-0008-0000-0300-00001E000000}"/>
                </a:ext>
              </a:extLst>
            </xdr:cNvPr>
            <xdr:cNvSpPr/>
          </xdr:nvSpPr>
          <xdr:spPr>
            <a:xfrm>
              <a:off x="9227941" y="1834109"/>
              <a:ext cx="7360856" cy="158256"/>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r>
                <a:rPr lang="en-US" sz="1050" b="1">
                  <a:solidFill>
                    <a:schemeClr val="bg1"/>
                  </a:solidFill>
                  <a:latin typeface="Arial" pitchFamily="34" charset="0"/>
                  <a:cs typeface="Arial" pitchFamily="34" charset="0"/>
                </a:rPr>
                <a:t>Narrative Field</a:t>
              </a:r>
              <a:r>
                <a:rPr lang="en-US" sz="1050" b="1" baseline="0">
                  <a:solidFill>
                    <a:schemeClr val="bg1"/>
                  </a:solidFill>
                  <a:latin typeface="Arial" pitchFamily="34" charset="0"/>
                  <a:cs typeface="Arial" pitchFamily="34" charset="0"/>
                </a:rPr>
                <a:t> </a:t>
              </a:r>
              <a:r>
                <a:rPr lang="en-US" sz="1050" b="1">
                  <a:solidFill>
                    <a:schemeClr val="bg1"/>
                  </a:solidFill>
                  <a:latin typeface="Arial" pitchFamily="34" charset="0"/>
                  <a:cs typeface="Arial" pitchFamily="34" charset="0"/>
                </a:rPr>
                <a:t>Limits</a:t>
              </a:r>
            </a:p>
          </xdr:txBody>
        </xdr:sp>
      </xdr:grpSp>
    </xdr:grpSp>
    <xdr:clientData fPrintsWithSheet="0"/>
  </xdr:twoCellAnchor>
  <xdr:twoCellAnchor>
    <xdr:from>
      <xdr:col>5</xdr:col>
      <xdr:colOff>85725</xdr:colOff>
      <xdr:row>6</xdr:row>
      <xdr:rowOff>142875</xdr:rowOff>
    </xdr:from>
    <xdr:to>
      <xdr:col>14</xdr:col>
      <xdr:colOff>123825</xdr:colOff>
      <xdr:row>6</xdr:row>
      <xdr:rowOff>142875</xdr:rowOff>
    </xdr:to>
    <xdr:cxnSp macro="">
      <xdr:nvCxnSpPr>
        <xdr:cNvPr id="31" name="DOTTED_LINE">
          <a:extLst>
            <a:ext uri="{FF2B5EF4-FFF2-40B4-BE49-F238E27FC236}">
              <a16:creationId xmlns:a16="http://schemas.microsoft.com/office/drawing/2014/main" id="{00000000-0008-0000-0300-00001F000000}"/>
            </a:ext>
          </a:extLst>
        </xdr:cNvPr>
        <xdr:cNvCxnSpPr/>
      </xdr:nvCxnSpPr>
      <xdr:spPr>
        <a:xfrm>
          <a:off x="1143000" y="2028825"/>
          <a:ext cx="43338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561975</xdr:colOff>
      <xdr:row>7</xdr:row>
      <xdr:rowOff>142875</xdr:rowOff>
    </xdr:from>
    <xdr:to>
      <xdr:col>14</xdr:col>
      <xdr:colOff>123825</xdr:colOff>
      <xdr:row>7</xdr:row>
      <xdr:rowOff>142875</xdr:rowOff>
    </xdr:to>
    <xdr:cxnSp macro="">
      <xdr:nvCxnSpPr>
        <xdr:cNvPr id="33" name="DOTTED_LINE">
          <a:extLst>
            <a:ext uri="{FF2B5EF4-FFF2-40B4-BE49-F238E27FC236}">
              <a16:creationId xmlns:a16="http://schemas.microsoft.com/office/drawing/2014/main" id="{00000000-0008-0000-0300-000021000000}"/>
            </a:ext>
          </a:extLst>
        </xdr:cNvPr>
        <xdr:cNvCxnSpPr/>
      </xdr:nvCxnSpPr>
      <xdr:spPr>
        <a:xfrm>
          <a:off x="1619250" y="2305050"/>
          <a:ext cx="38576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152400</xdr:colOff>
      <xdr:row>8</xdr:row>
      <xdr:rowOff>152400</xdr:rowOff>
    </xdr:from>
    <xdr:to>
      <xdr:col>14</xdr:col>
      <xdr:colOff>123825</xdr:colOff>
      <xdr:row>8</xdr:row>
      <xdr:rowOff>152400</xdr:rowOff>
    </xdr:to>
    <xdr:cxnSp macro="">
      <xdr:nvCxnSpPr>
        <xdr:cNvPr id="38" name="DOTTED_LINE">
          <a:extLst>
            <a:ext uri="{FF2B5EF4-FFF2-40B4-BE49-F238E27FC236}">
              <a16:creationId xmlns:a16="http://schemas.microsoft.com/office/drawing/2014/main" id="{00000000-0008-0000-0300-000026000000}"/>
            </a:ext>
          </a:extLst>
        </xdr:cNvPr>
        <xdr:cNvCxnSpPr/>
      </xdr:nvCxnSpPr>
      <xdr:spPr>
        <a:xfrm>
          <a:off x="2819400" y="3143250"/>
          <a:ext cx="26574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xdr:col>
      <xdr:colOff>66675</xdr:colOff>
      <xdr:row>9</xdr:row>
      <xdr:rowOff>238124</xdr:rowOff>
    </xdr:from>
    <xdr:to>
      <xdr:col>19</xdr:col>
      <xdr:colOff>104838</xdr:colOff>
      <xdr:row>16</xdr:row>
      <xdr:rowOff>133351</xdr:rowOff>
    </xdr:to>
    <xdr:grpSp>
      <xdr:nvGrpSpPr>
        <xdr:cNvPr id="41" name="CONFIG_FRAME">
          <a:extLst>
            <a:ext uri="{FF2B5EF4-FFF2-40B4-BE49-F238E27FC236}">
              <a16:creationId xmlns:a16="http://schemas.microsoft.com/office/drawing/2014/main" id="{00000000-0008-0000-0300-000029000000}"/>
            </a:ext>
          </a:extLst>
        </xdr:cNvPr>
        <xdr:cNvGrpSpPr/>
      </xdr:nvGrpSpPr>
      <xdr:grpSpPr>
        <a:xfrm>
          <a:off x="66675" y="3009899"/>
          <a:ext cx="7362888" cy="1828802"/>
          <a:chOff x="8180191" y="1298424"/>
          <a:chExt cx="7362825" cy="1826633"/>
        </a:xfrm>
      </xdr:grpSpPr>
      <xdr:sp macro="" textlink="">
        <xdr:nvSpPr>
          <xdr:cNvPr id="42" name="CONFIG_FRAME_SUBTITLE">
            <a:extLst>
              <a:ext uri="{FF2B5EF4-FFF2-40B4-BE49-F238E27FC236}">
                <a16:creationId xmlns:a16="http://schemas.microsoft.com/office/drawing/2014/main" id="{00000000-0008-0000-0300-00002A000000}"/>
              </a:ext>
            </a:extLst>
          </xdr:cNvPr>
          <xdr:cNvSpPr/>
        </xdr:nvSpPr>
        <xdr:spPr>
          <a:xfrm>
            <a:off x="8180191" y="1623397"/>
            <a:ext cx="7360921" cy="275969"/>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900" b="1">
                <a:solidFill>
                  <a:schemeClr val="dk1"/>
                </a:solidFill>
                <a:latin typeface="Arial" pitchFamily="34" charset="0"/>
                <a:ea typeface="+mn-ea"/>
                <a:cs typeface="Arial" pitchFamily="34" charset="0"/>
              </a:rPr>
              <a:t>Settings for Welcome (</a:t>
            </a:r>
            <a:r>
              <a:rPr lang="en-US" sz="900" b="1" i="1">
                <a:solidFill>
                  <a:schemeClr val="dk1"/>
                </a:solidFill>
                <a:latin typeface="Arial" pitchFamily="34" charset="0"/>
                <a:ea typeface="+mn-ea"/>
                <a:cs typeface="Arial" pitchFamily="34" charset="0"/>
              </a:rPr>
              <a:t>Application</a:t>
            </a:r>
            <a:r>
              <a:rPr lang="en-US" sz="900" b="1" i="1" baseline="0">
                <a:solidFill>
                  <a:schemeClr val="dk1"/>
                </a:solidFill>
                <a:latin typeface="Arial" pitchFamily="34" charset="0"/>
                <a:ea typeface="+mn-ea"/>
                <a:cs typeface="Arial" pitchFamily="34" charset="0"/>
              </a:rPr>
              <a:t> Type Selection)</a:t>
            </a:r>
            <a:r>
              <a:rPr lang="en-US" sz="900" b="1" i="0" baseline="0">
                <a:solidFill>
                  <a:schemeClr val="dk1"/>
                </a:solidFill>
                <a:latin typeface="Arial" pitchFamily="34" charset="0"/>
                <a:ea typeface="+mn-ea"/>
                <a:cs typeface="Arial" pitchFamily="34" charset="0"/>
              </a:rPr>
              <a:t> Screen</a:t>
            </a:r>
            <a:endParaRPr lang="en-US" sz="900">
              <a:latin typeface="Arial" pitchFamily="34" charset="0"/>
              <a:cs typeface="Arial" pitchFamily="34" charset="0"/>
            </a:endParaRPr>
          </a:p>
        </xdr:txBody>
      </xdr:sp>
      <xdr:grpSp>
        <xdr:nvGrpSpPr>
          <xdr:cNvPr id="44" name="TOC">
            <a:extLst>
              <a:ext uri="{FF2B5EF4-FFF2-40B4-BE49-F238E27FC236}">
                <a16:creationId xmlns:a16="http://schemas.microsoft.com/office/drawing/2014/main" id="{00000000-0008-0000-0300-00002C000000}"/>
              </a:ext>
            </a:extLst>
          </xdr:cNvPr>
          <xdr:cNvGrpSpPr/>
        </xdr:nvGrpSpPr>
        <xdr:grpSpPr>
          <a:xfrm>
            <a:off x="8180191" y="1298424"/>
            <a:ext cx="7362825" cy="1826633"/>
            <a:chOff x="9227941" y="1834109"/>
            <a:chExt cx="7362825" cy="1408348"/>
          </a:xfrm>
          <a:effectLst/>
        </xdr:grpSpPr>
        <xdr:sp macro="" textlink="">
          <xdr:nvSpPr>
            <xdr:cNvPr id="45" name="CONFIG_FRAME_BORDER">
              <a:extLst>
                <a:ext uri="{FF2B5EF4-FFF2-40B4-BE49-F238E27FC236}">
                  <a16:creationId xmlns:a16="http://schemas.microsoft.com/office/drawing/2014/main" id="{00000000-0008-0000-0300-00002D000000}"/>
                </a:ext>
              </a:extLst>
            </xdr:cNvPr>
            <xdr:cNvSpPr/>
          </xdr:nvSpPr>
          <xdr:spPr>
            <a:xfrm>
              <a:off x="9227941" y="2083507"/>
              <a:ext cx="7362825" cy="1158950"/>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a:latin typeface="Arial" pitchFamily="34" charset="0"/>
                <a:cs typeface="Arial" pitchFamily="34" charset="0"/>
              </a:endParaRPr>
            </a:p>
          </xdr:txBody>
        </xdr:sp>
        <xdr:sp macro="" textlink="">
          <xdr:nvSpPr>
            <xdr:cNvPr id="46" name="CONFIG_FRAME_TITLE">
              <a:extLst>
                <a:ext uri="{FF2B5EF4-FFF2-40B4-BE49-F238E27FC236}">
                  <a16:creationId xmlns:a16="http://schemas.microsoft.com/office/drawing/2014/main" id="{00000000-0008-0000-0300-00002E000000}"/>
                </a:ext>
              </a:extLst>
            </xdr:cNvPr>
            <xdr:cNvSpPr/>
          </xdr:nvSpPr>
          <xdr:spPr>
            <a:xfrm>
              <a:off x="9227941" y="1834109"/>
              <a:ext cx="7360856" cy="239704"/>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r>
                <a:rPr lang="en-US" sz="1050" b="1">
                  <a:solidFill>
                    <a:schemeClr val="bg1"/>
                  </a:solidFill>
                  <a:latin typeface="Arial" pitchFamily="34" charset="0"/>
                  <a:cs typeface="Arial" pitchFamily="34" charset="0"/>
                </a:rPr>
                <a:t>Welcome Screen </a:t>
              </a:r>
            </a:p>
          </xdr:txBody>
        </xdr:sp>
      </xdr:grpSp>
    </xdr:grpSp>
    <xdr:clientData fPrintsWithSheet="0"/>
  </xdr:twoCellAnchor>
  <xdr:twoCellAnchor editAs="oneCell">
    <xdr:from>
      <xdr:col>0</xdr:col>
      <xdr:colOff>0</xdr:colOff>
      <xdr:row>0</xdr:row>
      <xdr:rowOff>0</xdr:rowOff>
    </xdr:from>
    <xdr:to>
      <xdr:col>19</xdr:col>
      <xdr:colOff>152399</xdr:colOff>
      <xdr:row>2</xdr:row>
      <xdr:rowOff>9524</xdr:rowOff>
    </xdr:to>
    <xdr:sp macro="" textlink="">
      <xdr:nvSpPr>
        <xdr:cNvPr id="43" name="HEADER_SHORTCUT_TOP">
          <a:hlinkClick xmlns:r="http://schemas.openxmlformats.org/officeDocument/2006/relationships" r:id="rId2" tooltip="Jump to Top"/>
          <a:extLst>
            <a:ext uri="{FF2B5EF4-FFF2-40B4-BE49-F238E27FC236}">
              <a16:creationId xmlns:a16="http://schemas.microsoft.com/office/drawing/2014/main" id="{00000000-0008-0000-0300-00002B000000}"/>
            </a:ext>
          </a:extLst>
        </xdr:cNvPr>
        <xdr:cNvSpPr/>
      </xdr:nvSpPr>
      <xdr:spPr>
        <a:xfrm>
          <a:off x="0" y="0"/>
          <a:ext cx="7477124" cy="847724"/>
        </a:xfrm>
        <a:prstGeom prst="rect">
          <a:avLst/>
        </a:prstGeom>
        <a:solidFill>
          <a:schemeClr val="bg1">
            <a:alpha val="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700">
            <a:latin typeface="Arial" pitchFamily="34" charset="0"/>
            <a:cs typeface="Arial" pitchFamily="34" charset="0"/>
          </a:endParaRPr>
        </a:p>
      </xdr:txBody>
    </xdr:sp>
    <xdr:clientData fPrintsWithSheet="0"/>
  </xdr:twoCellAnchor>
  <xdr:twoCellAnchor>
    <xdr:from>
      <xdr:col>7</xdr:col>
      <xdr:colOff>581025</xdr:colOff>
      <xdr:row>20</xdr:row>
      <xdr:rowOff>142875</xdr:rowOff>
    </xdr:from>
    <xdr:to>
      <xdr:col>14</xdr:col>
      <xdr:colOff>85725</xdr:colOff>
      <xdr:row>20</xdr:row>
      <xdr:rowOff>142875</xdr:rowOff>
    </xdr:to>
    <xdr:cxnSp macro="">
      <xdr:nvCxnSpPr>
        <xdr:cNvPr id="32" name="DOTTED_LINE">
          <a:extLst>
            <a:ext uri="{FF2B5EF4-FFF2-40B4-BE49-F238E27FC236}">
              <a16:creationId xmlns:a16="http://schemas.microsoft.com/office/drawing/2014/main" id="{00000000-0008-0000-0300-000020000000}"/>
            </a:ext>
          </a:extLst>
        </xdr:cNvPr>
        <xdr:cNvCxnSpPr/>
      </xdr:nvCxnSpPr>
      <xdr:spPr>
        <a:xfrm>
          <a:off x="2533650" y="5895975"/>
          <a:ext cx="29051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695325</xdr:colOff>
      <xdr:row>21</xdr:row>
      <xdr:rowOff>142875</xdr:rowOff>
    </xdr:from>
    <xdr:to>
      <xdr:col>14</xdr:col>
      <xdr:colOff>85725</xdr:colOff>
      <xdr:row>21</xdr:row>
      <xdr:rowOff>142875</xdr:rowOff>
    </xdr:to>
    <xdr:cxnSp macro="">
      <xdr:nvCxnSpPr>
        <xdr:cNvPr id="34" name="DOTTED_LINE">
          <a:extLst>
            <a:ext uri="{FF2B5EF4-FFF2-40B4-BE49-F238E27FC236}">
              <a16:creationId xmlns:a16="http://schemas.microsoft.com/office/drawing/2014/main" id="{00000000-0008-0000-0300-000022000000}"/>
            </a:ext>
          </a:extLst>
        </xdr:cNvPr>
        <xdr:cNvCxnSpPr/>
      </xdr:nvCxnSpPr>
      <xdr:spPr>
        <a:xfrm>
          <a:off x="2647950" y="6172200"/>
          <a:ext cx="27908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628650</xdr:colOff>
      <xdr:row>22</xdr:row>
      <xdr:rowOff>142875</xdr:rowOff>
    </xdr:from>
    <xdr:to>
      <xdr:col>14</xdr:col>
      <xdr:colOff>85725</xdr:colOff>
      <xdr:row>22</xdr:row>
      <xdr:rowOff>142875</xdr:rowOff>
    </xdr:to>
    <xdr:cxnSp macro="">
      <xdr:nvCxnSpPr>
        <xdr:cNvPr id="35" name="DOTTED_LINE">
          <a:extLst>
            <a:ext uri="{FF2B5EF4-FFF2-40B4-BE49-F238E27FC236}">
              <a16:creationId xmlns:a16="http://schemas.microsoft.com/office/drawing/2014/main" id="{00000000-0008-0000-0300-000023000000}"/>
            </a:ext>
          </a:extLst>
        </xdr:cNvPr>
        <xdr:cNvCxnSpPr/>
      </xdr:nvCxnSpPr>
      <xdr:spPr>
        <a:xfrm>
          <a:off x="2581275" y="6448425"/>
          <a:ext cx="28575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161925</xdr:colOff>
      <xdr:row>23</xdr:row>
      <xdr:rowOff>133350</xdr:rowOff>
    </xdr:from>
    <xdr:to>
      <xdr:col>14</xdr:col>
      <xdr:colOff>85725</xdr:colOff>
      <xdr:row>23</xdr:row>
      <xdr:rowOff>133350</xdr:rowOff>
    </xdr:to>
    <xdr:cxnSp macro="">
      <xdr:nvCxnSpPr>
        <xdr:cNvPr id="36" name="DOTTED_LINE">
          <a:extLst>
            <a:ext uri="{FF2B5EF4-FFF2-40B4-BE49-F238E27FC236}">
              <a16:creationId xmlns:a16="http://schemas.microsoft.com/office/drawing/2014/main" id="{00000000-0008-0000-0300-000024000000}"/>
            </a:ext>
          </a:extLst>
        </xdr:cNvPr>
        <xdr:cNvCxnSpPr/>
      </xdr:nvCxnSpPr>
      <xdr:spPr>
        <a:xfrm>
          <a:off x="3009900" y="6715125"/>
          <a:ext cx="24288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B_TBL_DATA_FIELDS" displayName="DB_TBL_DATA_FIELDS" ref="A2:AC336" totalsRowShown="0" headerRowDxfId="208" dataDxfId="207">
  <autoFilter ref="A2:AC336" xr:uid="{00000000-0009-0000-0100-000002000000}"/>
  <tableColumns count="29">
    <tableColumn id="10" xr3:uid="{00000000-0010-0000-0000-00000A000000}" name="SHEET_REF_OWNER" dataDxfId="206"/>
    <tableColumn id="9" xr3:uid="{00000000-0010-0000-0000-000009000000}" name="SHEET_REF_RENTAL" dataDxfId="205"/>
    <tableColumn id="1" xr3:uid="{00000000-0010-0000-0000-000001000000}" name="SHEET_REF_CALC" dataDxfId="204">
      <calculatedColumnFormula>IF('$DB.CONFIG'!$D$3="R",DB_TBL_DATA_FIELDS[SHEET_REF_RENTAL],DB_TBL_DATA_FIELDS[SHEET_REF_OWNER])</calculatedColumnFormula>
    </tableColumn>
    <tableColumn id="2" xr3:uid="{00000000-0010-0000-0000-000002000000}" name="FIELD_ID" dataDxfId="203"/>
    <tableColumn id="4" xr3:uid="{00000000-0010-0000-0000-000004000000}" name="FIELD_EXPORT_FLAG" dataDxfId="202"/>
    <tableColumn id="8" xr3:uid="{00000000-0010-0000-0000-000008000000}" name="FIELD_REQ_FLAG" dataDxfId="201"/>
    <tableColumn id="3" xr3:uid="{00000000-0010-0000-0000-000003000000}" name="FIELD_DESC" dataDxfId="200"/>
    <tableColumn id="5" xr3:uid="{00000000-0010-0000-0000-000005000000}" name="FIELD_VALUE_RAW" dataDxfId="199">
      <calculatedColumnFormula>IFERROR(VLOOKUP(DB_TBL_DATA_FIELDS[[#This Row],[FIELD_ID]],INDIRECT(DB_TBL_DATA_FIELDS[[#This Row],[SHEET_REF_CALC]]&amp;"!A:B"),2,FALSE),"")</calculatedColumnFormula>
    </tableColumn>
    <tableColumn id="26" xr3:uid="{00000000-0010-0000-0000-00001A000000}" name="FIELD_VALID_CUSTOM_LOGIC" dataDxfId="198"/>
    <tableColumn id="14" xr3:uid="{00000000-0010-0000-0000-00000E000000}" name="FIELD_EMPTY_FLAG" dataDxfId="197">
      <calculatedColumnFormula>(DB_TBL_DATA_FIELDS[[#This Row],[FIELD_VALUE_RAW]]="")</calculatedColumnFormula>
    </tableColumn>
    <tableColumn id="15" xr3:uid="{00000000-0010-0000-0000-00000F000000}" name="FIELD_TYPE" dataDxfId="196"/>
    <tableColumn id="12" xr3:uid="{00000000-0010-0000-0000-00000C000000}" name="FIELD_VALID_FLAG" dataDxfId="195">
      <calculatedColumnFormula>AND(IF(DB_TBL_DATA_FIELDS[[#This Row],[FIELD_VALID_CUSTOM_LOGIC]]="",TRUE,DB_TBL_DATA_FIELDS[[#This Row],[FIELD_VALID_CUSTOM_LOGIC]]),DB_TBL_DATA_FIELDS[[#This Row],[RANGE_VALIDATION_PASSED_FLAG]])</calculatedColumnFormula>
    </tableColumn>
    <tableColumn id="6" xr3:uid="{00000000-0010-0000-0000-000006000000}" name="FIELD_VALUE_CLEAN" dataDxfId="194">
      <calculatedColumnFormula>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calculatedColumnFormula>
    </tableColumn>
    <tableColumn id="13" xr3:uid="{00000000-0010-0000-0000-00000D000000}" name="FIELD_STATUS_CODE" dataDxfId="193">
      <calculatedColumnFormula>IF(DB_TBL_DATA_FIELDS[[#This Row],[SHEET_REF_CALC]]="","",IF(DB_TBL_DATA_FIELDS[[#This Row],[FIELD_EMPTY_FLAG]],IF(NOT(DB_TBL_DATA_FIELDS[[#This Row],[FIELD_REQ_FLAG]]),-1,1),IF(NOT(DB_TBL_DATA_FIELDS[[#This Row],[FIELD_VALID_FLAG]]),0,2)))</calculatedColumnFormula>
    </tableColumn>
    <tableColumn id="7" xr3:uid="{00000000-0010-0000-0000-000007000000}" name="FIELD_STATUS_DISPLAY" dataDxfId="192">
      <calculatedColumnFormula>IFERROR(VLOOKUP(DB_TBL_DATA_FIELDS[[#This Row],[FIELD_STATUS_CODE]],DB_TBL_CONFIG_FIELDSTATUSCODES[#All],3,FALSE),"")</calculatedColumnFormula>
    </tableColumn>
    <tableColumn id="11" xr3:uid="{00000000-0010-0000-0000-00000B000000}" name="FIELD_STATUS_ICON" dataDxfId="191">
      <calculatedColumnFormula>IFERROR(VLOOKUP(DB_TBL_DATA_FIELDS[[#This Row],[FIELD_STATUS_CODE]],DB_TBL_CONFIG_FIELDSTATUSCODES[#All],4,FALSE),"")</calculatedColumnFormula>
    </tableColumn>
    <tableColumn id="23" xr3:uid="{00000000-0010-0000-0000-000017000000}" name="TRIM_TEXT_FLAG" dataDxfId="190">
      <calculatedColumnFormula>TRUE</calculatedColumnFormula>
    </tableColumn>
    <tableColumn id="24" xr3:uid="{00000000-0010-0000-0000-000018000000}" name="RANGE_VALIDATION_ON_FLAG" dataDxfId="189">
      <calculatedColumnFormula>TRUE</calculatedColumnFormula>
    </tableColumn>
    <tableColumn id="22" xr3:uid="{00000000-0010-0000-0000-000016000000}" name="RANGE_VALIDATION_FLAG" dataDxfId="188"/>
    <tableColumn id="25" xr3:uid="{00000000-0010-0000-0000-000019000000}" name="RANGE_VALUE_LEN" dataDxfId="187">
      <calculatedColumnFormula>IF(DB_TBL_DATA_FIELDS[[#This Row],[RANGE_VALIDATION_FLAG]]="Text",LEN(DB_TBL_DATA_FIELDS[[#This Row],[FIELD_VALUE_RAW]]),IFERROR(VALUE(DB_TBL_DATA_FIELDS[[#This Row],[FIELD_VALUE_RAW]]),-1))</calculatedColumnFormula>
    </tableColumn>
    <tableColumn id="19" xr3:uid="{00000000-0010-0000-0000-000013000000}" name="RANGE_VALIDATION_MIN" dataDxfId="186">
      <calculatedColumnFormula>IF(#REF!="","",VLOOKUP("VMIN_"&amp;#REF!,DB_TBL_CONFIG_APP[#All],4,FALSE))</calculatedColumnFormula>
    </tableColumn>
    <tableColumn id="20" xr3:uid="{00000000-0010-0000-0000-000014000000}" name="RANGE_VALIDATION_MAX" dataDxfId="185">
      <calculatedColumnFormula>IF(#REF!="","",VLOOKUP("VMAX_"&amp;#REF!,DB_TBL_CONFIG_APP[#All],4,FALSE))</calculatedColumnFormula>
    </tableColumn>
    <tableColumn id="21" xr3:uid="{00000000-0010-0000-0000-000015000000}" name="RANGE_VALIDATION_PASSED_FLAG" dataDxfId="184">
      <calculatedColumnFormula>IF(NOT(DB_TBL_DATA_FIELDS[[#This Row],[RANGE_VALIDATION_ON_FLAG]]),TRUE,
AND(DB_TBL_DATA_FIELDS[[#This Row],[RANGE_VALUE_LEN]]&gt;=DB_TBL_DATA_FIELDS[[#This Row],[RANGE_VALIDATION_MIN]],DB_TBL_DATA_FIELDS[[#This Row],[RANGE_VALUE_LEN]]&lt;=DB_TBL_DATA_FIELDS[[#This Row],[RANGE_VALIDATION_MAX]]))</calculatedColumnFormula>
    </tableColumn>
    <tableColumn id="27" xr3:uid="{00000000-0010-0000-0000-00001B000000}" name="PCT_CALC_SHOW_STATUS_CODE" dataDxfId="183"/>
    <tableColumn id="28" xr3:uid="{00000000-0010-0000-0000-00001C000000}" name="PCT_CALC_FIELD_STATUS_CODE" dataDxfId="182">
      <calculatedColumnFormula>IF(DB_TBL_DATA_FIELDS[[#This Row],[PCT_CALC_SHOW_STATUS_CODE]]=1,
DB_TBL_DATA_FIELDS[[#This Row],[FIELD_STATUS_CODE]],
IF(AND(DB_TBL_DATA_FIELDS[[#This Row],[PCT_CALC_SHOW_STATUS_CODE]]=2,DB_TBL_DATA_FIELDS[[#This Row],[FIELD_STATUS_CODE]]=0),
DB_TBL_DATA_FIELDS[[#This Row],[FIELD_STATUS_CODE]],
"")
)</calculatedColumnFormula>
    </tableColumn>
    <tableColumn id="30" xr3:uid="{00000000-0010-0000-0000-00001E000000}" name="ERROR_MESSAGE" dataDxfId="181"/>
    <tableColumn id="16" xr3:uid="{00000000-0010-0000-0000-000010000000}" name="SPEC_FIELD_ID" dataDxfId="180"/>
    <tableColumn id="17" xr3:uid="{00000000-0010-0000-0000-000011000000}" name="APP SECTION" dataDxfId="179"/>
    <tableColumn id="18" xr3:uid="{00000000-0010-0000-0000-000012000000}" name="DEVELOPER_COMMENTS" dataDxfId="178"/>
  </tableColumns>
  <tableStyleInfo name="TableStyleMedium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DB_TBL_LOOKUP_APPTYPE" displayName="DB_TBL_LOOKUP_APPTYPE" ref="A2:B4" totalsRowShown="0" headerRowDxfId="177" dataDxfId="176">
  <tableColumns count="2">
    <tableColumn id="4" xr3:uid="{00000000-0010-0000-0100-000004000000}" name="LOOKUP_CODE" dataDxfId="175"/>
    <tableColumn id="2" xr3:uid="{00000000-0010-0000-0100-000002000000}" name="LOOKUP_VALUE" dataDxfId="174"/>
  </tableColumns>
  <tableStyleInfo name="TableStyleMedium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DB_TBL_CONFIG_APP" displayName="DB_TBL_CONFIG_APP" ref="A2:D23" totalsRowShown="0" headerRowDxfId="173" dataDxfId="172">
  <tableColumns count="4">
    <tableColumn id="1" xr3:uid="{00000000-0010-0000-0200-000001000000}" name="CONFIG_VAR" dataDxfId="171"/>
    <tableColumn id="2" xr3:uid="{00000000-0010-0000-0200-000002000000}" name="CONFIG_DESC" dataDxfId="170"/>
    <tableColumn id="3" xr3:uid="{00000000-0010-0000-0200-000003000000}" name="CONFIG_TYPE" dataDxfId="169"/>
    <tableColumn id="4" xr3:uid="{00000000-0010-0000-0200-000004000000}" name="CONFIG_VALUE" dataDxfId="168">
      <calculatedColumnFormula>VLOOKUP("APP_TYPE",DB_TBL_DATA_FIELDS[[#All],[FIELD_ID]:[FIELD_VALUE_CLEAN]],8,FALSE)</calculatedColumnFormula>
    </tableColumn>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DB_TBL_CONFIG_FIELDSTATUSCODES" displayName="DB_TBL_CONFIG_FIELDSTATUSCODES" ref="F2:J6" totalsRowShown="0" headerRowDxfId="167" dataDxfId="166">
  <sortState xmlns:xlrd2="http://schemas.microsoft.com/office/spreadsheetml/2017/richdata2" ref="F3:J6">
    <sortCondition ref="F2:F6"/>
  </sortState>
  <tableColumns count="5">
    <tableColumn id="1" xr3:uid="{00000000-0010-0000-0300-000001000000}" name="FIELD_STATUS_CODE" dataDxfId="165"/>
    <tableColumn id="2" xr3:uid="{00000000-0010-0000-0300-000002000000}" name="FIELD_STATUS_DESCRIPTION" dataDxfId="164"/>
    <tableColumn id="5" xr3:uid="{00000000-0010-0000-0300-000005000000}" name="FIELD_STATUS_COMMENT" dataDxfId="163"/>
    <tableColumn id="3" xr3:uid="{00000000-0010-0000-0300-000003000000}" name="FIELD_STATUS_ICON" dataDxfId="162"/>
    <tableColumn id="4" xr3:uid="{00000000-0010-0000-0300-000004000000}" name="FIELD_STATUS_ICON_FONT" dataDxfId="161"/>
  </tableColumns>
  <tableStyleInfo name="TableStyleMedium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DB_TBL_CONFIG_WARNINGMSGS" displayName="DB_TBL_CONFIG_WARNINGMSGS" ref="L2:M5" totalsRowShown="0" headerRowDxfId="160" dataDxfId="159">
  <autoFilter ref="L2:M5" xr:uid="{00000000-0009-0000-0100-000006000000}"/>
  <tableColumns count="2">
    <tableColumn id="1" xr3:uid="{00000000-0010-0000-0400-000001000000}" name="WARNINGMSG_ID" dataDxfId="158"/>
    <tableColumn id="2" xr3:uid="{00000000-0010-0000-0400-000002000000}" name="WARNINGMSG_TEXT" dataDxfId="157"/>
  </tableColumns>
  <tableStyleInfo name="TableStyleMedium10"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DB_TBL_EXPORT_STAGE" displayName="DB_TBL_EXPORT_STAGE" ref="A1:EW2" totalsRowShown="0" headerRowDxfId="156" dataDxfId="154" headerRowBorderDxfId="155" tableBorderDxfId="153">
  <tableColumns count="153">
    <tableColumn id="90" xr3:uid="{00000000-0010-0000-0500-00005A000000}" name="AHP_ROUND" dataDxfId="152">
      <calculatedColumnFormula>VLOOKUP(A1,DB_TBL_DATA_FIELDS[[FIELD_ID]:[FIELD_VALUE_CLEAN]],10,FALSE)</calculatedColumnFormula>
    </tableColumn>
    <tableColumn id="3" xr3:uid="{00000000-0010-0000-0500-000003000000}" name="APP_COMPLETE_FLAG" dataDxfId="151">
      <calculatedColumnFormula>VLOOKUP(B1,DB_TBL_DATA_FIELDS[[FIELD_ID]:[FIELD_VALUE_CLEAN]],10,FALSE)</calculatedColumnFormula>
    </tableColumn>
    <tableColumn id="132" xr3:uid="{00000000-0010-0000-0500-000084000000}" name="APP_TYPE" dataDxfId="150">
      <calculatedColumnFormula>VLOOKUP(C1,DB_TBL_DATA_FIELDS[[FIELD_ID]:[FIELD_VALUE_CLEAN]],10,FALSE)</calculatedColumnFormula>
    </tableColumn>
    <tableColumn id="5" xr3:uid="{00000000-0010-0000-0500-000005000000}" name="PROJ_ADDRESS" dataDxfId="149">
      <calculatedColumnFormula>VLOOKUP(D1,DB_TBL_DATA_FIELDS[[FIELD_ID]:[FIELD_VALUE_CLEAN]],10,FALSE)</calculatedColumnFormula>
    </tableColumn>
    <tableColumn id="6" xr3:uid="{00000000-0010-0000-0500-000006000000}" name="PROJ_CITY" dataDxfId="148">
      <calculatedColumnFormula>VLOOKUP(E1,DB_TBL_DATA_FIELDS[[FIELD_ID]:[FIELD_VALUE_CLEAN]],10,FALSE)</calculatedColumnFormula>
    </tableColumn>
    <tableColumn id="7" xr3:uid="{00000000-0010-0000-0500-000007000000}" name="PROJ_STATE" dataDxfId="147">
      <calculatedColumnFormula>VLOOKUP(F1,DB_TBL_DATA_FIELDS[[FIELD_ID]:[FIELD_VALUE_CLEAN]],10,FALSE)</calculatedColumnFormula>
    </tableColumn>
    <tableColumn id="8" xr3:uid="{00000000-0010-0000-0500-000008000000}" name="PROJ_ZIP_CODE" dataDxfId="146">
      <calculatedColumnFormula>VLOOKUP(G1,DB_TBL_DATA_FIELDS[[FIELD_ID]:[FIELD_VALUE_CLEAN]],10,FALSE)</calculatedColumnFormula>
    </tableColumn>
    <tableColumn id="11" xr3:uid="{00000000-0010-0000-0500-00000B000000}" name="PROJ_COUNTY" dataDxfId="145">
      <calculatedColumnFormula>VLOOKUP(H1,DB_TBL_DATA_FIELDS[[FIELD_ID]:[FIELD_VALUE_CLEAN]],10,FALSE)</calculatedColumnFormula>
    </tableColumn>
    <tableColumn id="9" xr3:uid="{00000000-0010-0000-0500-000009000000}" name="PROJ_CENSUS_TRACT_ID" dataDxfId="144">
      <calculatedColumnFormula>VLOOKUP(I1,DB_TBL_DATA_FIELDS[[FIELD_ID]:[FIELD_VALUE_CLEAN]],10,FALSE)</calculatedColumnFormula>
    </tableColumn>
    <tableColumn id="1" xr3:uid="{00000000-0010-0000-0500-000001000000}" name="DIR_SUB_AMT" dataDxfId="143">
      <calculatedColumnFormula>VLOOKUP(J1,DB_TBL_DATA_FIELDS[[FIELD_ID]:[FIELD_VALUE_CLEAN]],10,FALSE)</calculatedColumnFormula>
    </tableColumn>
    <tableColumn id="13" xr3:uid="{00000000-0010-0000-0500-00000D000000}" name="OTHER_DISTRICT_LIST" dataDxfId="142">
      <calculatedColumnFormula>VLOOKUP(K1,DB_TBL_DATA_FIELDS[[FIELD_ID]:[FIELD_VALUE_CLEAN]],10,FALSE)</calculatedColumnFormula>
    </tableColumn>
    <tableColumn id="14" xr3:uid="{00000000-0010-0000-0500-00000E000000}" name="OTHER_DISTRICT_SUB_AMT" dataDxfId="141">
      <calculatedColumnFormula>VLOOKUP(L1,DB_TBL_DATA_FIELDS[[FIELD_ID]:[FIELD_VALUE_CLEAN]],10,FALSE)</calculatedColumnFormula>
    </tableColumn>
    <tableColumn id="58" xr3:uid="{00000000-0010-0000-0500-00003A000000}" name="OTHER_DISTRICT_PROJ_NAME" dataDxfId="140">
      <calculatedColumnFormula>VLOOKUP(M1,DB_TBL_DATA_FIELDS[[FIELD_ID]:[FIELD_VALUE_CLEAN]],10,FALSE)</calculatedColumnFormula>
    </tableColumn>
    <tableColumn id="10" xr3:uid="{00000000-0010-0000-0500-00000A000000}" name="SPONSOR_WORKSHOP_ATTENDANCE" dataDxfId="139">
      <calculatedColumnFormula>VLOOKUP(N1,DB_TBL_DATA_FIELDS[[FIELD_ID]:[FIELD_VALUE_CLEAN]],10,FALSE)</calculatedColumnFormula>
    </tableColumn>
    <tableColumn id="12" xr3:uid="{00000000-0010-0000-0500-00000C000000}" name="PROJ_RESIDENCE_TYPE_CD" dataDxfId="138">
      <calculatedColumnFormula>VLOOKUP(O1,DB_TBL_DATA_FIELDS[[FIELD_ID]:[FIELD_VALUE_CLEAN]],10,FALSE)</calculatedColumnFormula>
    </tableColumn>
    <tableColumn id="15" xr3:uid="{00000000-0010-0000-0500-00000F000000}" name="SELF_HELP_FLG" dataDxfId="137">
      <calculatedColumnFormula>VLOOKUP(P1,DB_TBL_DATA_FIELDS[[FIELD_ID]:[FIELD_VALUE_CLEAN]],10,FALSE)</calculatedColumnFormula>
    </tableColumn>
    <tableColumn id="16" xr3:uid="{00000000-0010-0000-0500-000010000000}" name="SCATTERED_SITE_FLG" dataDxfId="136">
      <calculatedColumnFormula>VLOOKUP(Q1,DB_TBL_DATA_FIELDS[[FIELD_ID]:[FIELD_VALUE_CLEAN]],10,FALSE)</calculatedColumnFormula>
    </tableColumn>
    <tableColumn id="17" xr3:uid="{00000000-0010-0000-0500-000011000000}" name="SINGLE_ROOM_OCC_UNITS_FLG" dataDxfId="135">
      <calculatedColumnFormula>VLOOKUP(R1,DB_TBL_DATA_FIELDS[[FIELD_ID]:[FIELD_VALUE_CLEAN]],10,FALSE)</calculatedColumnFormula>
    </tableColumn>
    <tableColumn id="18" xr3:uid="{00000000-0010-0000-0500-000012000000}" name="NEW_CONSTRUCTION_FLG" dataDxfId="134">
      <calculatedColumnFormula>VLOOKUP(S1,DB_TBL_DATA_FIELDS[[FIELD_ID]:[FIELD_VALUE_CLEAN]],10,FALSE)</calculatedColumnFormula>
    </tableColumn>
    <tableColumn id="19" xr3:uid="{00000000-0010-0000-0500-000013000000}" name="REHABILITATION_FLG" dataDxfId="133">
      <calculatedColumnFormula>VLOOKUP(T1,DB_TBL_DATA_FIELDS[[FIELD_ID]:[FIELD_VALUE_CLEAN]],10,FALSE)</calculatedColumnFormula>
    </tableColumn>
    <tableColumn id="20" xr3:uid="{00000000-0010-0000-0500-000014000000}" name="ACQUISITION_FLG" dataDxfId="132">
      <calculatedColumnFormula>VLOOKUP(U1,DB_TBL_DATA_FIELDS[[FIELD_ID]:[FIELD_VALUE_CLEAN]],10,FALSE)</calculatedColumnFormula>
    </tableColumn>
    <tableColumn id="21" xr3:uid="{00000000-0010-0000-0500-000015000000}" name="MIXED_USE_FLG" dataDxfId="131">
      <calculatedColumnFormula>VLOOKUP(V1,DB_TBL_DATA_FIELDS[[FIELD_ID]:[FIELD_VALUE_CLEAN]],10,FALSE)</calculatedColumnFormula>
    </tableColumn>
    <tableColumn id="22" xr3:uid="{00000000-0010-0000-0500-000016000000}" name="COMMERCIAL_UNITS" dataDxfId="130">
      <calculatedColumnFormula>VLOOKUP(W1,DB_TBL_DATA_FIELDS[[FIELD_ID]:[FIELD_VALUE_CLEAN]],10,FALSE)</calculatedColumnFormula>
    </tableColumn>
    <tableColumn id="23" xr3:uid="{00000000-0010-0000-0500-000017000000}" name="TOTAL_COMMERCIAL_SQU_FT" dataDxfId="129">
      <calculatedColumnFormula>VLOOKUP(X1,DB_TBL_DATA_FIELDS[[FIELD_ID]:[FIELD_VALUE_CLEAN]],10,FALSE)</calculatedColumnFormula>
    </tableColumn>
    <tableColumn id="24" xr3:uid="{00000000-0010-0000-0500-000018000000}" name="PERCENT_COMMERCIAL_UNITS" dataDxfId="128">
      <calculatedColumnFormula>VLOOKUP(Y1,DB_TBL_DATA_FIELDS[[FIELD_ID]:[FIELD_VALUE_CLEAN]],10,FALSE)</calculatedColumnFormula>
    </tableColumn>
    <tableColumn id="25" xr3:uid="{00000000-0010-0000-0500-000019000000}" name="MILITARY_BASE_FLG" dataDxfId="127">
      <calculatedColumnFormula>VLOOKUP(Z1,DB_TBL_DATA_FIELDS[[FIELD_ID]:[FIELD_VALUE_CLEAN]],10,FALSE)</calculatedColumnFormula>
    </tableColumn>
    <tableColumn id="26" xr3:uid="{00000000-0010-0000-0500-00001A000000}" name="NATV_LAND_FLG" dataDxfId="126">
      <calculatedColumnFormula>VLOOKUP(AA1,DB_TBL_DATA_FIELDS[[FIELD_ID]:[FIELD_VALUE_CLEAN]],10,FALSE)</calculatedColumnFormula>
    </tableColumn>
    <tableColumn id="27" xr3:uid="{00000000-0010-0000-0500-00001B000000}" name="HUD_811_202_FINANCE_FLG" dataDxfId="125">
      <calculatedColumnFormula>VLOOKUP(AB1,DB_TBL_DATA_FIELDS[[FIELD_ID]:[FIELD_VALUE_CLEAN]],10,FALSE)</calculatedColumnFormula>
    </tableColumn>
    <tableColumn id="4" xr3:uid="{00000000-0010-0000-0500-000004000000}" name="FUNDS_UTILIZED_12MOS_FLG" dataDxfId="124">
      <calculatedColumnFormula>VLOOKUP(AC1,DB_TBL_DATA_FIELDS[[FIELD_ID]:[FIELD_VALUE_CLEAN]],10,FALSE)</calculatedColumnFormula>
    </tableColumn>
    <tableColumn id="28" xr3:uid="{00000000-0010-0000-0500-00001C000000}" name="FUNDS_USED_CLOSING_RENTALACQ_FLG" dataDxfId="123">
      <calculatedColumnFormula>VLOOKUP(AD1,DB_TBL_DATA_FIELDS[[FIELD_ID]:[FIELD_VALUE_CLEAN]],10,FALSE)</calculatedColumnFormula>
    </tableColumn>
    <tableColumn id="30" xr3:uid="{00000000-0010-0000-0500-00001E000000}" name="FUNDS_USED_PRIN_PAYDOWN_FLG" dataDxfId="122">
      <calculatedColumnFormula>VLOOKUP(AE1,DB_TBL_DATA_FIELDS[[FIELD_ID]:[FIELD_VALUE_CLEAN]],10,FALSE)</calculatedColumnFormula>
    </tableColumn>
    <tableColumn id="31" xr3:uid="{00000000-0010-0000-0500-00001F000000}" name="FUNDS_SECURED_2NDLIENPOS_FLG" dataDxfId="121">
      <calculatedColumnFormula>VLOOKUP(AF1,DB_TBL_DATA_FIELDS[[FIELD_ID]:[FIELD_VALUE_CLEAN]],10,FALSE)</calculatedColumnFormula>
    </tableColumn>
    <tableColumn id="32" xr3:uid="{00000000-0010-0000-0500-000020000000}" name="FUNDS_WRITEDOWN_INT_HOME_MTG_FLG" dataDxfId="120">
      <calculatedColumnFormula>VLOOKUP(AG1,DB_TBL_DATA_FIELDS[[FIELD_ID]:[FIELD_VALUE_CLEAN]],10,FALSE)</calculatedColumnFormula>
    </tableColumn>
    <tableColumn id="33" xr3:uid="{00000000-0010-0000-0500-000021000000}" name="FUNDS_PAY_HOMEBUYER_CLOSING_FLG" dataDxfId="119">
      <calculatedColumnFormula>VLOOKUP(AH1,DB_TBL_DATA_FIELDS[[FIELD_ID]:[FIELD_VALUE_CLEAN]],10,FALSE)</calculatedColumnFormula>
    </tableColumn>
    <tableColumn id="34" xr3:uid="{00000000-0010-0000-0500-000022000000}" name="FUNDS_PAY_HOMEBUYER_CNSLNG_FLG" dataDxfId="118">
      <calculatedColumnFormula>VLOOKUP(AI1,DB_TBL_DATA_FIELDS[[FIELD_ID]:[FIELD_VALUE_CLEAN]],10,FALSE)</calculatedColumnFormula>
    </tableColumn>
    <tableColumn id="35" xr3:uid="{00000000-0010-0000-0500-000023000000}" name="FUNDS_USED_LOANPOOL_FLG" dataDxfId="117">
      <calculatedColumnFormula>VLOOKUP(AJ1,DB_TBL_DATA_FIELDS[[FIELD_ID]:[FIELD_VALUE_CLEAN]],10,FALSE)</calculatedColumnFormula>
    </tableColumn>
    <tableColumn id="36" xr3:uid="{00000000-0010-0000-0500-000024000000}" name="FUNDS_CAPITALIZE_REV_LOANFUND_FLG" dataDxfId="116">
      <calculatedColumnFormula>VLOOKUP(AK1,DB_TBL_DATA_FIELDS[[FIELD_ID]:[FIELD_VALUE_CLEAN]],10,FALSE)</calculatedColumnFormula>
    </tableColumn>
    <tableColumn id="37" xr3:uid="{00000000-0010-0000-0500-000025000000}" name="MEMBER_SELLING_REO_FLG" dataDxfId="115">
      <calculatedColumnFormula>VLOOKUP(AL1,DB_TBL_DATA_FIELDS[[FIELD_ID]:[FIELD_VALUE_CLEAN]],10,FALSE)</calculatedColumnFormula>
    </tableColumn>
    <tableColumn id="38" xr3:uid="{00000000-0010-0000-0500-000026000000}" name="MEMBER_FINANCING_FLG" dataDxfId="114">
      <calculatedColumnFormula>VLOOKUP(AM1,DB_TBL_DATA_FIELDS[[FIELD_ID]:[FIELD_VALUE_CLEAN]],10,FALSE)</calculatedColumnFormula>
    </tableColumn>
    <tableColumn id="39" xr3:uid="{00000000-0010-0000-0500-000027000000}" name="MEMBER_BRIDGE_LOAN_FLG" dataDxfId="113">
      <calculatedColumnFormula>VLOOKUP(AN1,DB_TBL_DATA_FIELDS[[FIELD_ID]:[FIELD_VALUE_CLEAN]],10,FALSE)</calculatedColumnFormula>
    </tableColumn>
    <tableColumn id="40" xr3:uid="{00000000-0010-0000-0500-000028000000}" name="MEMBER_CONSTRUCTION_LOAN_FLG" dataDxfId="112">
      <calculatedColumnFormula>VLOOKUP(AO1,DB_TBL_DATA_FIELDS[[FIELD_ID]:[FIELD_VALUE_CLEAN]],10,FALSE)</calculatedColumnFormula>
    </tableColumn>
    <tableColumn id="41" xr3:uid="{00000000-0010-0000-0500-000029000000}" name="MEMBER_PERM_LOAN_MTG_FLG" dataDxfId="111">
      <calculatedColumnFormula>VLOOKUP(AP1,DB_TBL_DATA_FIELDS[[FIELD_ID]:[FIELD_VALUE_CLEAN]],10,FALSE)</calculatedColumnFormula>
    </tableColumn>
    <tableColumn id="42" xr3:uid="{00000000-0010-0000-0500-00002A000000}" name="FHLBSF_PROVIDING_ADVANCE_FLG" dataDxfId="110">
      <calculatedColumnFormula>VLOOKUP(AQ1,DB_TBL_DATA_FIELDS[[FIELD_ID]:[FIELD_VALUE_CLEAN]],10,FALSE)</calculatedColumnFormula>
    </tableColumn>
    <tableColumn id="43" xr3:uid="{00000000-0010-0000-0500-00002B000000}" name="MEMBER_REDUCED_CLOSINGCOSTS_FLG" dataDxfId="109">
      <calculatedColumnFormula>VLOOKUP(AR1,DB_TBL_DATA_FIELDS[[FIELD_ID]:[FIELD_VALUE_CLEAN]],10,FALSE)</calculatedColumnFormula>
    </tableColumn>
    <tableColumn id="44" xr3:uid="{00000000-0010-0000-0500-00002C000000}" name="MEMBER_INKIND_CONTRIB_FLG" dataDxfId="108">
      <calculatedColumnFormula>VLOOKUP(AS1,DB_TBL_DATA_FIELDS[[FIELD_ID]:[FIELD_VALUE_CLEAN]],10,FALSE)</calculatedColumnFormula>
    </tableColumn>
    <tableColumn id="45" xr3:uid="{00000000-0010-0000-0500-00002D000000}" name="MEMBER_PURCHASE_TAXCREDS_FLG" dataDxfId="107">
      <calculatedColumnFormula>VLOOKUP(AT1,DB_TBL_DATA_FIELDS[[FIELD_ID]:[FIELD_VALUE_CLEAN]],10,FALSE)</calculatedColumnFormula>
    </tableColumn>
    <tableColumn id="47" xr3:uid="{00000000-0010-0000-0500-00002F000000}" name="DONATED_UNITS_COUNT" dataDxfId="106">
      <calculatedColumnFormula>VLOOKUP(AU1,DB_TBL_DATA_FIELDS[[FIELD_ID]:[FIELD_VALUE_CLEAN]],10,FALSE)</calculatedColumnFormula>
    </tableColumn>
    <tableColumn id="48" xr3:uid="{00000000-0010-0000-0500-000030000000}" name="FED_UNITS_COUNT" dataDxfId="105">
      <calculatedColumnFormula>VLOOKUP(AV1,DB_TBL_DATA_FIELDS[[FIELD_ID]:[FIELD_VALUE_CLEAN]],10,FALSE)</calculatedColumnFormula>
    </tableColumn>
    <tableColumn id="49" xr3:uid="{00000000-0010-0000-0500-000031000000}" name="UNDERFMV_UNITS_COUNT" dataDxfId="104">
      <calculatedColumnFormula>VLOOKUP(AW1,DB_TBL_DATA_FIELDS[[FIELD_ID]:[FIELD_VALUE_CLEAN]],10,FALSE)</calculatedColumnFormula>
    </tableColumn>
    <tableColumn id="51" xr3:uid="{00000000-0010-0000-0500-000033000000}" name="UNDERFMV_UNITS_FMT_PCT" dataDxfId="103">
      <calculatedColumnFormula>VLOOKUP(AX1,DB_TBL_DATA_FIELDS[[FIELD_ID]:[FIELD_VALUE_CLEAN]],10,FALSE)</calculatedColumnFormula>
    </tableColumn>
    <tableColumn id="52" xr3:uid="{00000000-0010-0000-0500-000034000000}" name="DONATING_ENTITY_HUD_FLG" dataDxfId="102">
      <calculatedColumnFormula>VLOOKUP(AY1,DB_TBL_DATA_FIELDS[[FIELD_ID]:[FIELD_VALUE_CLEAN]],10,FALSE)</calculatedColumnFormula>
    </tableColumn>
    <tableColumn id="53" xr3:uid="{00000000-0010-0000-0500-000035000000}" name="DONATING_ENTITY_OTHERFED_FLG" dataDxfId="101">
      <calculatedColumnFormula>VLOOKUP(AZ1,DB_TBL_DATA_FIELDS[[FIELD_ID]:[FIELD_VALUE_CLEAN]],10,FALSE)</calculatedColumnFormula>
    </tableColumn>
    <tableColumn id="54" xr3:uid="{00000000-0010-0000-0500-000036000000}" name="DONATING_ENTITY_STATE_FLG" dataDxfId="100">
      <calculatedColumnFormula>VLOOKUP(BA1,DB_TBL_DATA_FIELDS[[FIELD_ID]:[FIELD_VALUE_CLEAN]],10,FALSE)</calculatedColumnFormula>
    </tableColumn>
    <tableColumn id="55" xr3:uid="{00000000-0010-0000-0500-000037000000}" name="DONATING_ENTITY_NONGOVI_FLG" dataDxfId="99">
      <calculatedColumnFormula>VLOOKUP(BB1,DB_TBL_DATA_FIELDS[[FIELD_ID]:[FIELD_VALUE_CLEAN]],10,FALSE)</calculatedColumnFormula>
    </tableColumn>
    <tableColumn id="56" xr3:uid="{00000000-0010-0000-0500-000038000000}" name="DONATING_ENTITY_GOVTPROP_OTHER_FLG" dataDxfId="98">
      <calculatedColumnFormula>VLOOKUP(BC1,DB_TBL_DATA_FIELDS[[FIELD_ID]:[FIELD_VALUE_CLEAN]],10,FALSE)</calculatedColumnFormula>
    </tableColumn>
    <tableColumn id="57" xr3:uid="{00000000-0010-0000-0500-000039000000}" name="DONATING_ENTITY_GOVTPROP_LOCAL_FLG" dataDxfId="97">
      <calculatedColumnFormula>VLOOKUP(BD1,DB_TBL_DATA_FIELDS[[FIELD_ID]:[FIELD_VALUE_CLEAN]],10,FALSE)</calculatedColumnFormula>
    </tableColumn>
    <tableColumn id="59" xr3:uid="{00000000-0010-0000-0500-00003B000000}" name="TOTAL_UNITS" dataDxfId="96">
      <calculatedColumnFormula>VLOOKUP(BE1,DB_TBL_DATA_FIELDS[[FIELD_ID]:[FIELD_VALUE_CLEAN]],10,FALSE)</calculatedColumnFormula>
    </tableColumn>
    <tableColumn id="60" xr3:uid="{00000000-0010-0000-0500-00003C000000}" name="INCOME_RESTRICTED_TBL_ROW1_UNITS" dataDxfId="95">
      <calculatedColumnFormula>VLOOKUP(BF1,DB_TBL_DATA_FIELDS[[FIELD_ID]:[FIELD_VALUE_CLEAN]],10,FALSE)</calculatedColumnFormula>
    </tableColumn>
    <tableColumn id="61" xr3:uid="{00000000-0010-0000-0500-00003D000000}" name="INCOME_RESTRICTED_TBL_ROW2_UNITS" dataDxfId="94">
      <calculatedColumnFormula>VLOOKUP(BG1,DB_TBL_DATA_FIELDS[[FIELD_ID]:[FIELD_VALUE_CLEAN]],10,FALSE)</calculatedColumnFormula>
    </tableColumn>
    <tableColumn id="62" xr3:uid="{00000000-0010-0000-0500-00003E000000}" name="INCOME_RESTRICTED_TBL_ROW3_UNITS" dataDxfId="93">
      <calculatedColumnFormula>VLOOKUP(BH1,DB_TBL_DATA_FIELDS[[FIELD_ID]:[FIELD_VALUE_CLEAN]],10,FALSE)</calculatedColumnFormula>
    </tableColumn>
    <tableColumn id="63" xr3:uid="{00000000-0010-0000-0500-00003F000000}" name="INCOME_RESTRICTED_TBL_ROW4_UNITS" dataDxfId="92">
      <calculatedColumnFormula>VLOOKUP(BI1,DB_TBL_DATA_FIELDS[[FIELD_ID]:[FIELD_VALUE_CLEAN]],10,FALSE)</calculatedColumnFormula>
    </tableColumn>
    <tableColumn id="64" xr3:uid="{00000000-0010-0000-0500-000040000000}" name="INCOME_RESTRICTED_TBL_ROW5_UNITS" dataDxfId="91">
      <calculatedColumnFormula>VLOOKUP(BJ1,DB_TBL_DATA_FIELDS[[FIELD_ID]:[FIELD_VALUE_CLEAN]],10,FALSE)</calculatedColumnFormula>
    </tableColumn>
    <tableColumn id="65" xr3:uid="{00000000-0010-0000-0500-000041000000}" name="INCOME_RESTRICTED_TBL_ROW6_UNITS" dataDxfId="90">
      <calculatedColumnFormula>VLOOKUP(BK1,DB_TBL_DATA_FIELDS[[FIELD_ID]:[FIELD_VALUE_CLEAN]],10,FALSE)</calculatedColumnFormula>
    </tableColumn>
    <tableColumn id="66" xr3:uid="{00000000-0010-0000-0500-000042000000}" name="INCOME_RESTRICTED_TBL_ROW7_UNITS" dataDxfId="89">
      <calculatedColumnFormula>VLOOKUP(BL1,DB_TBL_DATA_FIELDS[[FIELD_ID]:[FIELD_VALUE_CLEAN]],10,FALSE)</calculatedColumnFormula>
    </tableColumn>
    <tableColumn id="67" xr3:uid="{00000000-0010-0000-0500-000043000000}" name="INCOME_RESTRICTED_TBL_ROW8_UNITS" dataDxfId="88">
      <calculatedColumnFormula>VLOOKUP(BM1,DB_TBL_DATA_FIELDS[[FIELD_ID]:[FIELD_VALUE_CLEAN]],10,FALSE)</calculatedColumnFormula>
    </tableColumn>
    <tableColumn id="68" xr3:uid="{00000000-0010-0000-0500-000044000000}" name="INCOME_RESTRICTED_TBL_ROW9_UNITS" dataDxfId="87">
      <calculatedColumnFormula>VLOOKUP(BN1,DB_TBL_DATA_FIELDS[[FIELD_ID]:[FIELD_VALUE_CLEAN]],10,FALSE)</calculatedColumnFormula>
    </tableColumn>
    <tableColumn id="69" xr3:uid="{00000000-0010-0000-0500-000045000000}" name="INCOME_RESTRICTED_TBL_ROW10_UNITS" dataDxfId="86">
      <calculatedColumnFormula>VLOOKUP(BO1,DB_TBL_DATA_FIELDS[[FIELD_ID]:[FIELD_VALUE_CLEAN]],10,FALSE)</calculatedColumnFormula>
    </tableColumn>
    <tableColumn id="122" xr3:uid="{00000000-0010-0000-0500-00007A000000}" name="INCOME_RESTRICTED_TBL_ROW11_UNITS" dataDxfId="85">
      <calculatedColumnFormula>VLOOKUP(BP1,DB_TBL_DATA_FIELDS[[FIELD_ID]:[FIELD_VALUE_CLEAN]],10,FALSE)</calculatedColumnFormula>
    </tableColumn>
    <tableColumn id="133" xr3:uid="{00000000-0010-0000-0500-000085000000}" name="INCOME_RESTRICTED_TBL_ROW12_UNITS" dataDxfId="84">
      <calculatedColumnFormula>VLOOKUP(BQ1,DB_TBL_DATA_FIELDS[[FIELD_ID]:[FIELD_VALUE_CLEAN]],10,FALSE)</calculatedColumnFormula>
    </tableColumn>
    <tableColumn id="70" xr3:uid="{00000000-0010-0000-0500-000046000000}" name="INCOME_RESTRICTED_TBL_ROW1_AMI" dataDxfId="83">
      <calculatedColumnFormula>VLOOKUP(BR1,DB_TBL_DATA_FIELDS[[FIELD_ID]:[FIELD_VALUE_CLEAN]],10,FALSE)</calculatedColumnFormula>
    </tableColumn>
    <tableColumn id="71" xr3:uid="{00000000-0010-0000-0500-000047000000}" name="INCOME_RESTRICTED_TBL_ROW2_AMI" dataDxfId="82">
      <calculatedColumnFormula>VLOOKUP(BS1,DB_TBL_DATA_FIELDS[[FIELD_ID]:[FIELD_VALUE_CLEAN]],10,FALSE)</calculatedColumnFormula>
    </tableColumn>
    <tableColumn id="72" xr3:uid="{00000000-0010-0000-0500-000048000000}" name="INCOME_RESTRICTED_TBL_ROW3_AMI" dataDxfId="81">
      <calculatedColumnFormula>VLOOKUP(BT1,DB_TBL_DATA_FIELDS[[FIELD_ID]:[FIELD_VALUE_CLEAN]],10,FALSE)</calculatedColumnFormula>
    </tableColumn>
    <tableColumn id="73" xr3:uid="{00000000-0010-0000-0500-000049000000}" name="INCOME_RESTRICTED_TBL_ROW4_AMI" dataDxfId="80">
      <calculatedColumnFormula>VLOOKUP(BU1,DB_TBL_DATA_FIELDS[[FIELD_ID]:[FIELD_VALUE_CLEAN]],10,FALSE)</calculatedColumnFormula>
    </tableColumn>
    <tableColumn id="74" xr3:uid="{00000000-0010-0000-0500-00004A000000}" name="INCOME_RESTRICTED_TBL_ROW5_AMI" dataDxfId="79">
      <calculatedColumnFormula>VLOOKUP(BV1,DB_TBL_DATA_FIELDS[[FIELD_ID]:[FIELD_VALUE_CLEAN]],10,FALSE)</calculatedColumnFormula>
    </tableColumn>
    <tableColumn id="75" xr3:uid="{00000000-0010-0000-0500-00004B000000}" name="INCOME_RESTRICTED_TBL_ROW6_AMI" dataDxfId="78">
      <calculatedColumnFormula>VLOOKUP(BW1,DB_TBL_DATA_FIELDS[[FIELD_ID]:[FIELD_VALUE_CLEAN]],10,FALSE)</calculatedColumnFormula>
    </tableColumn>
    <tableColumn id="76" xr3:uid="{00000000-0010-0000-0500-00004C000000}" name="INCOME_RESTRICTED_TBL_ROW7_AMI" dataDxfId="77">
      <calculatedColumnFormula>VLOOKUP(BX1,DB_TBL_DATA_FIELDS[[FIELD_ID]:[FIELD_VALUE_CLEAN]],10,FALSE)</calculatedColumnFormula>
    </tableColumn>
    <tableColumn id="77" xr3:uid="{00000000-0010-0000-0500-00004D000000}" name="INCOME_RESTRICTED_TBL_ROW8_AMI" dataDxfId="76">
      <calculatedColumnFormula>VLOOKUP(BY1,DB_TBL_DATA_FIELDS[[FIELD_ID]:[FIELD_VALUE_CLEAN]],10,FALSE)</calculatedColumnFormula>
    </tableColumn>
    <tableColumn id="78" xr3:uid="{00000000-0010-0000-0500-00004E000000}" name="INCOME_RESTRICTED_TBL_ROW9_AMI" dataDxfId="75">
      <calculatedColumnFormula>VLOOKUP(BZ1,DB_TBL_DATA_FIELDS[[FIELD_ID]:[FIELD_VALUE_CLEAN]],10,FALSE)</calculatedColumnFormula>
    </tableColumn>
    <tableColumn id="79" xr3:uid="{00000000-0010-0000-0500-00004F000000}" name="INCOME_RESTRICTED_TBL_ROW10_AMI" dataDxfId="74">
      <calculatedColumnFormula>VLOOKUP(CA1,DB_TBL_DATA_FIELDS[[FIELD_ID]:[FIELD_VALUE_CLEAN]],10,FALSE)</calculatedColumnFormula>
    </tableColumn>
    <tableColumn id="134" xr3:uid="{00000000-0010-0000-0500-000086000000}" name="INCOME_RESTRICTED_TBL_ROW11_AMI" dataDxfId="73">
      <calculatedColumnFormula>VLOOKUP(CB1,DB_TBL_DATA_FIELDS[[FIELD_ID]:[FIELD_VALUE_CLEAN]],10,FALSE)</calculatedColumnFormula>
    </tableColumn>
    <tableColumn id="135" xr3:uid="{00000000-0010-0000-0500-000087000000}" name="INCOME_RESTRICTED_TBL_ROW12_AMI" dataDxfId="72">
      <calculatedColumnFormula>VLOOKUP(CC1,DB_TBL_DATA_FIELDS[[FIELD_ID]:[FIELD_VALUE_CLEAN]],10,FALSE)</calculatedColumnFormula>
    </tableColumn>
    <tableColumn id="80" xr3:uid="{00000000-0010-0000-0500-000050000000}" name="INCOME_RESTRICTED_UNITS" dataDxfId="71">
      <calculatedColumnFormula>VLOOKUP(CD1,DB_TBL_DATA_FIELDS[[FIELD_ID]:[FIELD_VALUE_CLEAN]],10,FALSE)</calculatedColumnFormula>
    </tableColumn>
    <tableColumn id="81" xr3:uid="{00000000-0010-0000-0500-000051000000}" name="MANAGER_UNITS" dataDxfId="70">
      <calculatedColumnFormula>VLOOKUP(CE1,DB_TBL_DATA_FIELDS[[FIELD_ID]:[FIELD_VALUE_CLEAN]],10,FALSE)</calculatedColumnFormula>
    </tableColumn>
    <tableColumn id="2" xr3:uid="{00000000-0010-0000-0500-000002000000}" name="SPONSOR_ORG_TYPE_CATEGORY" dataDxfId="69">
      <calculatedColumnFormula>VLOOKUP(CF1,DB_TBL_DATA_FIELDS[[FIELD_ID]:[FIELD_VALUE_CLEAN]],10,FALSE)</calculatedColumnFormula>
    </tableColumn>
    <tableColumn id="29" xr3:uid="{00000000-0010-0000-0500-00001D000000}" name="SPONSOR_NONPROFIT_501C3_FLG" dataDxfId="68">
      <calculatedColumnFormula>VLOOKUP(CG1,DB_TBL_DATA_FIELDS[[FIELD_ID]:[FIELD_VALUE_CLEAN]],10,FALSE)</calculatedColumnFormula>
    </tableColumn>
    <tableColumn id="46" xr3:uid="{00000000-0010-0000-0500-00002E000000}" name="SPONSOR_OWNERSHIP_INTEREST_BRACKET" dataDxfId="67">
      <calculatedColumnFormula>VLOOKUP(CH1,DB_TBL_DATA_FIELDS[[FIELD_ID]:[FIELD_VALUE_CLEAN]],10,FALSE)</calculatedColumnFormula>
    </tableColumn>
    <tableColumn id="50" xr3:uid="{00000000-0010-0000-0500-000032000000}" name="SPONSOR_PROJECT_PLANNING_FLG" dataDxfId="66">
      <calculatedColumnFormula>VLOOKUP(CI1,DB_TBL_DATA_FIELDS[[FIELD_ID]:[FIELD_VALUE_CLEAN]],10,FALSE)</calculatedColumnFormula>
    </tableColumn>
    <tableColumn id="82" xr3:uid="{00000000-0010-0000-0500-000052000000}" name="SPONSOR_PROJECT_DEV_FLG" dataDxfId="65">
      <calculatedColumnFormula>VLOOKUP(CJ1,DB_TBL_DATA_FIELDS[[FIELD_ID]:[FIELD_VALUE_CLEAN]],10,FALSE)</calculatedColumnFormula>
    </tableColumn>
    <tableColumn id="83" xr3:uid="{00000000-0010-0000-0500-000053000000}" name="SPONSOR_CONSTRUCTION_FLG" dataDxfId="64">
      <calculatedColumnFormula>VLOOKUP(CK1,DB_TBL_DATA_FIELDS[[FIELD_ID]:[FIELD_VALUE_CLEAN]],10,FALSE)</calculatedColumnFormula>
    </tableColumn>
    <tableColumn id="84" xr3:uid="{00000000-0010-0000-0500-000054000000}" name="SPONSOR_PROJECT_PROPMGMT_FLG" dataDxfId="63">
      <calculatedColumnFormula>VLOOKUP(CL1,DB_TBL_DATA_FIELDS[[FIELD_ID]:[FIELD_VALUE_CLEAN]],10,FALSE)</calculatedColumnFormula>
    </tableColumn>
    <tableColumn id="85" xr3:uid="{00000000-0010-0000-0500-000055000000}" name="SPONSOR_PROJECT_FINANCING_RENTAL_FLG" dataDxfId="62">
      <calculatedColumnFormula>VLOOKUP(CM1,DB_TBL_DATA_FIELDS[[FIELD_ID]:[FIELD_VALUE_CLEAN]],10,FALSE)</calculatedColumnFormula>
    </tableColumn>
    <tableColumn id="86" xr3:uid="{00000000-0010-0000-0500-000056000000}" name="SPONSOR_PROJECT_FINANCING_OWNER_FLG" dataDxfId="61">
      <calculatedColumnFormula>VLOOKUP(CN1,DB_TBL_DATA_FIELDS[[FIELD_ID]:[FIELD_VALUE_CLEAN]],10,FALSE)</calculatedColumnFormula>
    </tableColumn>
    <tableColumn id="87" xr3:uid="{00000000-0010-0000-0500-000057000000}" name="SPONSOR_PROJECT_SELFHELPHSEHLDS_FLG" dataDxfId="60">
      <calculatedColumnFormula>VLOOKUP(CO1,DB_TBL_DATA_FIELDS[[FIELD_ID]:[FIELD_VALUE_CLEAN]],10,FALSE)</calculatedColumnFormula>
    </tableColumn>
    <tableColumn id="88" xr3:uid="{00000000-0010-0000-0500-000058000000}" name="SPONSOR_PREPURCH_CNSLING_FLG" dataDxfId="59">
      <calculatedColumnFormula>VLOOKUP(CP1,DB_TBL_DATA_FIELDS[[FIELD_ID]:[FIELD_VALUE_CLEAN]],10,FALSE)</calculatedColumnFormula>
    </tableColumn>
    <tableColumn id="89" xr3:uid="{00000000-0010-0000-0500-000059000000}" name="SPONSOR_POSTPURCH_CNSLING_FLG" dataDxfId="58">
      <calculatedColumnFormula>VLOOKUP(CQ1,DB_TBL_DATA_FIELDS[[FIELD_ID]:[FIELD_VALUE_CLEAN]],10,FALSE)</calculatedColumnFormula>
    </tableColumn>
    <tableColumn id="91" xr3:uid="{00000000-0010-0000-0500-00005B000000}" name="SPONSOR_QUALIFYBUYERS_FLG" dataDxfId="57">
      <calculatedColumnFormula>VLOOKUP(CR1,DB_TBL_DATA_FIELDS[[FIELD_ID]:[FIELD_VALUE_CLEAN]],10,FALSE)</calculatedColumnFormula>
    </tableColumn>
    <tableColumn id="92" xr3:uid="{00000000-0010-0000-0500-00005C000000}" name="DEVELOPER_FEE_BRACKET" dataDxfId="56">
      <calculatedColumnFormula>VLOOKUP(CS1,DB_TBL_DATA_FIELDS[[FIELD_ID]:[FIELD_VALUE_CLEAN]],10,FALSE)</calculatedColumnFormula>
    </tableColumn>
    <tableColumn id="93" xr3:uid="{00000000-0010-0000-0500-00005D000000}" name="HOMELESS_UNITS" dataDxfId="55">
      <calculatedColumnFormula>VLOOKUP(CT1,DB_TBL_DATA_FIELDS[[FIELD_ID]:[FIELD_VALUE_CLEAN]],10,FALSE)</calculatedColumnFormula>
    </tableColumn>
    <tableColumn id="94" xr3:uid="{00000000-0010-0000-0500-00005E000000}" name="EMPMNT_WORKFORCEDEV_FLG" dataDxfId="54">
      <calculatedColumnFormula>VLOOKUP(CU1,DB_TBL_DATA_FIELDS[[FIELD_ID]:[FIELD_VALUE_CLEAN]],10,FALSE)</calculatedColumnFormula>
    </tableColumn>
    <tableColumn id="95" xr3:uid="{00000000-0010-0000-0500-00005F000000}" name="EMPMNT_FINLITERACY_FLG" dataDxfId="53">
      <calculatedColumnFormula>VLOOKUP(CV1,DB_TBL_DATA_FIELDS[[FIELD_ID]:[FIELD_VALUE_CLEAN]],10,FALSE)</calculatedColumnFormula>
    </tableColumn>
    <tableColumn id="96" xr3:uid="{00000000-0010-0000-0500-000060000000}" name="EMPMNT_OWNERCOUNSELING_FLG" dataDxfId="52">
      <calculatedColumnFormula>VLOOKUP(CW1,DB_TBL_DATA_FIELDS[[FIELD_ID]:[FIELD_VALUE_CLEAN]],10,FALSE)</calculatedColumnFormula>
    </tableColumn>
    <tableColumn id="97" xr3:uid="{00000000-0010-0000-0500-000061000000}" name="EMPMNT_SWEATEQUITY_FLG" dataDxfId="51">
      <calculatedColumnFormula>VLOOKUP(CX1,DB_TBL_DATA_FIELDS[[FIELD_ID]:[FIELD_VALUE_CLEAN]],10,FALSE)</calculatedColumnFormula>
    </tableColumn>
    <tableColumn id="98" xr3:uid="{00000000-0010-0000-0500-000062000000}" name="EMPMNT_ONSITEHEALTH_FLG" dataDxfId="50">
      <calculatedColumnFormula>VLOOKUP(CY1,DB_TBL_DATA_FIELDS[[FIELD_ID]:[FIELD_VALUE_CLEAN]],10,FALSE)</calculatedColumnFormula>
    </tableColumn>
    <tableColumn id="99" xr3:uid="{00000000-0010-0000-0500-000063000000}" name="EMPMNT_ONSITEDAYCARE_FLG" dataDxfId="49">
      <calculatedColumnFormula>VLOOKUP(CZ1,DB_TBL_DATA_FIELDS[[FIELD_ID]:[FIELD_VALUE_CLEAN]],10,FALSE)</calculatedColumnFormula>
    </tableColumn>
    <tableColumn id="100" xr3:uid="{00000000-0010-0000-0500-000064000000}" name="EMPMNT_AFTERSCHOOL_FLG" dataDxfId="48">
      <calculatedColumnFormula>VLOOKUP(DA1,DB_TBL_DATA_FIELDS[[FIELD_ID]:[FIELD_VALUE_CLEAN]],10,FALSE)</calculatedColumnFormula>
    </tableColumn>
    <tableColumn id="101" xr3:uid="{00000000-0010-0000-0500-000065000000}" name="EMPMNT_SOCIALWORKER_FLG" dataDxfId="47">
      <calculatedColumnFormula>VLOOKUP(DB1,DB_TBL_DATA_FIELDS[[FIELD_ID]:[FIELD_VALUE_CLEAN]],10,FALSE)</calculatedColumnFormula>
    </tableColumn>
    <tableColumn id="102" xr3:uid="{00000000-0010-0000-0500-000066000000}" name="SPECIALNEEDS_SENIORS_UNITS" dataDxfId="46">
      <calculatedColumnFormula>VLOOKUP(DC1,DB_TBL_DATA_FIELDS[[FIELD_ID]:[FIELD_VALUE_CLEAN]],10,FALSE)</calculatedColumnFormula>
    </tableColumn>
    <tableColumn id="103" xr3:uid="{00000000-0010-0000-0500-000067000000}" name="SPECIALNEEDS_DISABILITY_UNITS" dataDxfId="45">
      <calculatedColumnFormula>VLOOKUP(DD1,DB_TBL_DATA_FIELDS[[FIELD_ID]:[FIELD_VALUE_CLEAN]],10,FALSE)</calculatedColumnFormula>
    </tableColumn>
    <tableColumn id="104" xr3:uid="{00000000-0010-0000-0500-000068000000}" name="SPECIALNEEDS_AIDS_UNITS" dataDxfId="44">
      <calculatedColumnFormula>VLOOKUP(DE1,DB_TBL_DATA_FIELDS[[FIELD_ID]:[FIELD_VALUE_CLEAN]],10,FALSE)</calculatedColumnFormula>
    </tableColumn>
    <tableColumn id="105" xr3:uid="{00000000-0010-0000-0500-000069000000}" name="SPECIALNEEDS_PHYSICALABUSE_UNITS" dataDxfId="43">
      <calculatedColumnFormula>VLOOKUP(DF1,DB_TBL_DATA_FIELDS[[FIELD_ID]:[FIELD_VALUE_CLEAN]],10,FALSE)</calculatedColumnFormula>
    </tableColumn>
    <tableColumn id="106" xr3:uid="{00000000-0010-0000-0500-00006A000000}" name="SPECIALNEEDS_SUBSTANCEABUSE_UNITS" dataDxfId="42">
      <calculatedColumnFormula>VLOOKUP(DG1,DB_TBL_DATA_FIELDS[[FIELD_ID]:[FIELD_VALUE_CLEAN]],10,FALSE)</calculatedColumnFormula>
    </tableColumn>
    <tableColumn id="107" xr3:uid="{00000000-0010-0000-0500-00006B000000}" name="RURAL_UNITS" dataDxfId="41">
      <calculatedColumnFormula>VLOOKUP(DH1,DB_TBL_DATA_FIELDS[[FIELD_ID]:[FIELD_VALUE_CLEAN]],10,FALSE)</calculatedColumnFormula>
    </tableColumn>
    <tableColumn id="108" xr3:uid="{00000000-0010-0000-0500-00006C000000}" name="RURAL_DESIGNATING_GOVI_ENTITY" dataDxfId="40">
      <calculatedColumnFormula>VLOOKUP(DI1,DB_TBL_DATA_FIELDS[[FIELD_ID]:[FIELD_VALUE_CLEAN]],10,FALSE)</calculatedColumnFormula>
    </tableColumn>
    <tableColumn id="109" xr3:uid="{00000000-0010-0000-0500-00006D000000}" name="FIRSTTIME_HOMEBUYER_UNITS" dataDxfId="39">
      <calculatedColumnFormula>VLOOKUP(DJ1,DB_TBL_DATA_FIELDS[[FIELD_ID]:[FIELD_VALUE_CLEAN]],10,FALSE)</calculatedColumnFormula>
    </tableColumn>
    <tableColumn id="110" xr3:uid="{00000000-0010-0000-0500-00006E000000}" name="SCATTERED_SITE_DOWNPAYMENT_FLG" dataDxfId="38">
      <calculatedColumnFormula>VLOOKUP(DK1,DB_TBL_DATA_FIELDS[[FIELD_ID]:[FIELD_VALUE_CLEAN]],10,FALSE)</calculatedColumnFormula>
    </tableColumn>
    <tableColumn id="111" xr3:uid="{00000000-0010-0000-0500-00006F000000}" name="FULLCONTROL_UNITS" dataDxfId="37">
      <calculatedColumnFormula>VLOOKUP(DL1,DB_TBL_DATA_FIELDS[[FIELD_ID]:[FIELD_VALUE_CLEAN]],10,FALSE)</calculatedColumnFormula>
    </tableColumn>
    <tableColumn id="112" xr3:uid="{00000000-0010-0000-0500-000070000000}" name="FULLCONTROL_SUPPORTING_DOC" dataDxfId="36">
      <calculatedColumnFormula>VLOOKUP(DM1,DB_TBL_DATA_FIELDS[[FIELD_ID]:[FIELD_VALUE_CLEAN]],10,FALSE)</calculatedColumnFormula>
    </tableColumn>
    <tableColumn id="113" xr3:uid="{00000000-0010-0000-0500-000071000000}" name="PARTCONTROL_UNITS" dataDxfId="35">
      <calculatedColumnFormula>VLOOKUP(DN1,DB_TBL_DATA_FIELDS[[FIELD_ID]:[FIELD_VALUE_CLEAN]],10,FALSE)</calculatedColumnFormula>
    </tableColumn>
    <tableColumn id="114" xr3:uid="{00000000-0010-0000-0500-000072000000}" name="PARTCONTROL_SUPPORTING_DOC" dataDxfId="34">
      <calculatedColumnFormula>VLOOKUP(DO1,DB_TBL_DATA_FIELDS[[FIELD_ID]:[FIELD_VALUE_CLEAN]],10,FALSE)</calculatedColumnFormula>
    </tableColumn>
    <tableColumn id="115" xr3:uid="{00000000-0010-0000-0500-000073000000}" name="ZONING_CONFORMING_UNITS" dataDxfId="33">
      <calculatedColumnFormula>VLOOKUP(DP1,DB_TBL_DATA_FIELDS[[FIELD_ID]:[FIELD_VALUE_CLEAN]],10,FALSE)</calculatedColumnFormula>
    </tableColumn>
    <tableColumn id="116" xr3:uid="{00000000-0010-0000-0500-000074000000}" name="ZONING_NONCONFORMING_UNITS" dataDxfId="32">
      <calculatedColumnFormula>VLOOKUP(DQ1,DB_TBL_DATA_FIELDS[[FIELD_ID]:[FIELD_VALUE_CLEAN]],10,FALSE)</calculatedColumnFormula>
    </tableColumn>
    <tableColumn id="117" xr3:uid="{00000000-0010-0000-0500-000075000000}" name="BLDG_PERMIT_UNITS" dataDxfId="31">
      <calculatedColumnFormula>VLOOKUP(DR1,DB_TBL_DATA_FIELDS[[FIELD_ID]:[FIELD_VALUE_CLEAN]],10,FALSE)</calculatedColumnFormula>
    </tableColumn>
    <tableColumn id="118" xr3:uid="{00000000-0010-0000-0500-000076000000}" name="BLDG_PERMIT_DATE" dataDxfId="30">
      <calculatedColumnFormula>VLOOKUP(DS1,DB_TBL_DATA_FIELDS[[FIELD_ID]:[FIELD_VALUE_CLEAN]],10,FALSE)</calculatedColumnFormula>
    </tableColumn>
    <tableColumn id="119" xr3:uid="{00000000-0010-0000-0500-000077000000}" name="BLDG_PERMIT_READYLETTER_UNITS" dataDxfId="29">
      <calculatedColumnFormula>VLOOKUP(DT1,DB_TBL_DATA_FIELDS[[FIELD_ID]:[FIELD_VALUE_CLEAN]],10,FALSE)</calculatedColumnFormula>
    </tableColumn>
    <tableColumn id="120" xr3:uid="{00000000-0010-0000-0500-000078000000}" name="BLDG_PERMIT_READYLETTER_DATE" dataDxfId="28">
      <calculatedColumnFormula>VLOOKUP(DU1,DB_TBL_DATA_FIELDS[[FIELD_ID]:[FIELD_VALUE_CLEAN]],10,FALSE)</calculatedColumnFormula>
    </tableColumn>
    <tableColumn id="121" xr3:uid="{00000000-0010-0000-0500-000079000000}" name="POTENTIAL_HOMEBUYERS_UNITS" dataDxfId="27">
      <calculatedColumnFormula>VLOOKUP(DV1,DB_TBL_DATA_FIELDS[[FIELD_ID]:[FIELD_VALUE_CLEAN]],10,FALSE)</calculatedColumnFormula>
    </tableColumn>
    <tableColumn id="123" xr3:uid="{00000000-0010-0000-0500-00007B000000}" name="CS_REVITALIZING_A_RESULT" dataDxfId="26">
      <calculatedColumnFormula>VLOOKUP(DW1,DB_TBL_DATA_FIELDS[[FIELD_ID]:[FIELD_VALUE_CLEAN]],10,FALSE)</calculatedColumnFormula>
    </tableColumn>
    <tableColumn id="124" xr3:uid="{00000000-0010-0000-0500-00007C000000}" name="CS_REVITALIZING_B_RESULT" dataDxfId="25">
      <calculatedColumnFormula>VLOOKUP(DX1,DB_TBL_DATA_FIELDS[[FIELD_ID]:[FIELD_VALUE_CLEAN]],10,FALSE)</calculatedColumnFormula>
    </tableColumn>
    <tableColumn id="125" xr3:uid="{00000000-0010-0000-0500-00007D000000}" name="CS_PLANNING_A_RESULT" dataDxfId="24">
      <calculatedColumnFormula>VLOOKUP(DY1,DB_TBL_DATA_FIELDS[[FIELD_ID]:[FIELD_VALUE_CLEAN]],10,FALSE)</calculatedColumnFormula>
    </tableColumn>
    <tableColumn id="126" xr3:uid="{00000000-0010-0000-0500-00007E000000}" name="CS_PROXIMITY_TRANSITLINES" dataDxfId="23">
      <calculatedColumnFormula>VLOOKUP(DZ1,DB_TBL_DATA_FIELDS[[FIELD_ID]:[FIELD_VALUE_CLEAN]],10,FALSE)</calculatedColumnFormula>
    </tableColumn>
    <tableColumn id="127" xr3:uid="{00000000-0010-0000-0500-00007F000000}" name="CS_PROXIMITY_AMENITIES" dataDxfId="22">
      <calculatedColumnFormula>VLOOKUP(EA1,DB_TBL_DATA_FIELDS[[FIELD_ID]:[FIELD_VALUE_CLEAN]],10,FALSE)</calculatedColumnFormula>
    </tableColumn>
    <tableColumn id="128" xr3:uid="{00000000-0010-0000-0500-000080000000}" name="CS_SUSTAINABLE_A_RESULT" dataDxfId="21">
      <calculatedColumnFormula>VLOOKUP(EB1,DB_TBL_DATA_FIELDS[[FIELD_ID]:[FIELD_VALUE_CLEAN]],10,FALSE)</calculatedColumnFormula>
    </tableColumn>
    <tableColumn id="129" xr3:uid="{00000000-0010-0000-0500-000081000000}" name="CS_INTEGRATION_HOMEOWNEROP_FLG" dataDxfId="20">
      <calculatedColumnFormula>VLOOKUP(EC1,DB_TBL_DATA_FIELDS[[FIELD_ID]:[FIELD_VALUE_CLEAN]],10,FALSE)</calculatedColumnFormula>
    </tableColumn>
    <tableColumn id="130" xr3:uid="{00000000-0010-0000-0500-000082000000}" name="CS_INTEGRATION_CENSUSTRACTS_FLG" dataDxfId="19">
      <calculatedColumnFormula>VLOOKUP(ED1,DB_TBL_DATA_FIELDS[[FIELD_ID]:[FIELD_VALUE_CLEAN]],10,FALSE)</calculatedColumnFormula>
    </tableColumn>
    <tableColumn id="131" xr3:uid="{00000000-0010-0000-0500-000083000000}" name="CS_DISPLACEMENT_A_RESULT" dataDxfId="18">
      <calculatedColumnFormula>VLOOKUP(EE1,DB_TBL_DATA_FIELDS[[FIELD_ID]:[FIELD_VALUE_CLEAN]],10,FALSE)</calculatedColumnFormula>
    </tableColumn>
    <tableColumn id="136" xr3:uid="{00000000-0010-0000-0500-000088000000}" name="IN_DISTRICT" dataDxfId="17">
      <calculatedColumnFormula>VLOOKUP(EF1,DB_TBL_DATA_FIELDS[[FIELD_ID]:[FIELD_VALUE_CLEAN]],10,FALSE)</calculatedColumnFormula>
    </tableColumn>
    <tableColumn id="137" xr3:uid="{00000000-0010-0000-0500-000089000000}" name="UNIQUEFIN_TAXCREDIT_HYBRID_FLG" dataDxfId="16">
      <calculatedColumnFormula>VLOOKUP(EG1,DB_TBL_DATA_FIELDS[[FIELD_ID]:[FIELD_VALUE_CLEAN]],10,FALSE)</calculatedColumnFormula>
    </tableColumn>
    <tableColumn id="138" xr3:uid="{00000000-0010-0000-0500-00008A000000}" name="CONSTR_REHAB_START_DATE" dataDxfId="15">
      <calculatedColumnFormula>VLOOKUP(EH1,DB_TBL_DATA_FIELDS[[FIELD_ID]:[FIELD_VALUE_CLEAN]],10,FALSE)</calculatedColumnFormula>
    </tableColumn>
    <tableColumn id="139" xr3:uid="{00000000-0010-0000-0500-00008B000000}" name="CONSTR_REHAB_COMPLETE_DATE" dataDxfId="14">
      <calculatedColumnFormula>VLOOKUP(EI1,DB_TBL_DATA_FIELDS[[FIELD_ID]:[FIELD_VALUE_CLEAN]],10,FALSE)</calculatedColumnFormula>
    </tableColumn>
    <tableColumn id="140" xr3:uid="{AFAC5640-9979-4A20-AD91-7360B7B570FC}" name="DEVPARTNER1_NAME" dataDxfId="13">
      <calculatedColumnFormula>VLOOKUP(EJ1,DB_TBL_DATA_FIELDS[[FIELD_ID]:[FIELD_VALUE_CLEAN]],10,FALSE)</calculatedColumnFormula>
    </tableColumn>
    <tableColumn id="141" xr3:uid="{4096D8D7-2E20-4961-A2AB-30C9538289BE}" name="DEVPARTNER2_NAME" dataDxfId="12">
      <calculatedColumnFormula>VLOOKUP(EK1,DB_TBL_DATA_FIELDS[[FIELD_ID]:[FIELD_VALUE_CLEAN]],10,FALSE)</calculatedColumnFormula>
    </tableColumn>
    <tableColumn id="142" xr3:uid="{FFE684B0-8F18-46A4-B065-520F82E0FCAE}" name="HUD_OTHER_FINANCE_FLG" dataDxfId="11">
      <calculatedColumnFormula>VLOOKUP(EL1,DB_TBL_DATA_FIELDS[[FIELD_ID]:[FIELD_VALUE_CLEAN]],10,FALSE)</calculatedColumnFormula>
    </tableColumn>
    <tableColumn id="143" xr3:uid="{D7A59F1E-4EF0-46E3-A89A-08377DC3B017}" name="FHLBSF_FINANCING_AHEAD_FLG" dataDxfId="10">
      <calculatedColumnFormula>VLOOKUP(EM1,DB_TBL_DATA_FIELDS[[FIELD_ID]:[FIELD_VALUE_CLEAN]],10,FALSE)</calculatedColumnFormula>
    </tableColumn>
    <tableColumn id="144" xr3:uid="{BF21E6D9-00A3-4A86-9AD6-DE69FE9FA550}" name="FHLBSF_FINANCING_ACE_FLG" dataDxfId="9">
      <calculatedColumnFormula>VLOOKUP(EN1,DB_TBL_DATA_FIELDS[[FIELD_ID]:[FIELD_VALUE_CLEAN]],10,FALSE)</calculatedColumnFormula>
    </tableColumn>
    <tableColumn id="145" xr3:uid="{3E0BEB69-0810-42CE-8C53-70BCBAAFABB9}" name="FHLBSF_FINANCING_CIP_FLG" dataDxfId="8">
      <calculatedColumnFormula>VLOOKUP(EO1,DB_TBL_DATA_FIELDS[[FIELD_ID]:[FIELD_VALUE_CLEAN]],10,FALSE)</calculatedColumnFormula>
    </tableColumn>
    <tableColumn id="146" xr3:uid="{CA86FE2C-F1B9-4C2F-9A10-ED0DD4EC4BBC}" name="FHLBSF_FINANCING_QJF_FLG" dataDxfId="7">
      <calculatedColumnFormula>VLOOKUP(EP1,DB_TBL_DATA_FIELDS[[FIELD_ID]:[FIELD_VALUE_CLEAN]],10,FALSE)</calculatedColumnFormula>
    </tableColumn>
    <tableColumn id="147" xr3:uid="{003D6A9F-D383-4497-85B6-532411EFFA62}" name="UNIQUEFIN_UNITS_DISTRIB_FLG" dataDxfId="6">
      <calculatedColumnFormula>VLOOKUP(EQ1,DB_TBL_DATA_FIELDS[[FIELD_ID]:[FIELD_VALUE_CLEAN]],10,FALSE)</calculatedColumnFormula>
    </tableColumn>
    <tableColumn id="148" xr3:uid="{62BDE5DC-667E-4E3B-BE79-4F4436688EEB}" name="HUD_811_FINANCE_FLG" dataDxfId="5">
      <calculatedColumnFormula>VLOOKUP(ER1,DB_TBL_DATA_FIELDS[[FIELD_ID]:[FIELD_VALUE_CLEAN]],10,FALSE)</calculatedColumnFormula>
    </tableColumn>
    <tableColumn id="149" xr3:uid="{B5D5A496-33C3-49AF-AEDD-F81A270F027E}" name="USDA_SEC_514_FLG" dataDxfId="4">
      <calculatedColumnFormula>VLOOKUP(ES1,DB_TBL_DATA_FIELDS[[FIELD_ID]:[FIELD_VALUE_CLEAN]],10,FALSE)</calculatedColumnFormula>
    </tableColumn>
    <tableColumn id="150" xr3:uid="{DE12A14C-644A-4756-AE3D-A22264AD9F68}" name="USDA_SEC_515_FLG" dataDxfId="3">
      <calculatedColumnFormula>VLOOKUP(ET1,DB_TBL_DATA_FIELDS[[FIELD_ID]:[FIELD_VALUE_CLEAN]],10,FALSE)</calculatedColumnFormula>
    </tableColumn>
    <tableColumn id="151" xr3:uid="{E0148880-A339-4324-8D32-AC8768F139EF}" name="SPONSOR_CERT_COVEREDMISCONDUCT_FLG" dataDxfId="2">
      <calculatedColumnFormula>VLOOKUP(EU1,DB_TBL_DATA_FIELDS[[FIELD_ID]:[FIELD_VALUE_CLEAN]],10,FALSE)</calculatedColumnFormula>
    </tableColumn>
    <tableColumn id="152" xr3:uid="{315BD4CB-E564-48F4-B100-1E09CD528CB1}" name="SPONSOR_CERT_RESPONSIBILITIES_FLG" dataDxfId="1">
      <calculatedColumnFormula>VLOOKUP(EV1,DB_TBL_DATA_FIELDS[[FIELD_ID]:[FIELD_VALUE_CLEAN]],10,FALSE)</calculatedColumnFormula>
    </tableColumn>
    <tableColumn id="153" xr3:uid="{0A287ABB-A746-4CB0-B187-47E6D7AEF67E}" name="LARGE_UNITS" dataDxfId="0">
      <calculatedColumnFormula>VLOOKUP(EW1,DB_TBL_DATA_FIELDS[[FIELD_ID]:[FIELD_VALUE_CLEAN]],10,FALSE)</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34" Type="http://schemas.openxmlformats.org/officeDocument/2006/relationships/ctrlProp" Target="../ctrlProps/ctrlProp33.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 Type="http://schemas.openxmlformats.org/officeDocument/2006/relationships/vmlDrawing" Target="../drawings/vmlDrawing3.vml"/><Relationship Id="rId21" Type="http://schemas.openxmlformats.org/officeDocument/2006/relationships/ctrlProp" Target="../ctrlProps/ctrlProp53.xml"/><Relationship Id="rId34" Type="http://schemas.openxmlformats.org/officeDocument/2006/relationships/ctrlProp" Target="../ctrlProps/ctrlProp66.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2" Type="http://schemas.openxmlformats.org/officeDocument/2006/relationships/drawing" Target="../drawings/drawing3.xm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printerSettings" Target="../printerSettings/printerSettings3.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7.bin"/><Relationship Id="rId4"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L20"/>
  <sheetViews>
    <sheetView showGridLines="0" showRowColHeaders="0" tabSelected="1" topLeftCell="H1" zoomScaleNormal="100" workbookViewId="0">
      <selection activeCell="K8" sqref="K8:K9"/>
    </sheetView>
  </sheetViews>
  <sheetFormatPr defaultColWidth="0" defaultRowHeight="14.25" zeroHeight="1" x14ac:dyDescent="0.2"/>
  <cols>
    <col min="1" max="1" width="24.7109375" style="135" hidden="1" customWidth="1"/>
    <col min="2" max="2" width="33.28515625" style="136" hidden="1" customWidth="1"/>
    <col min="3" max="7" width="17" style="135" hidden="1" customWidth="1"/>
    <col min="8" max="8" width="2.42578125" style="125" customWidth="1"/>
    <col min="9" max="9" width="64.42578125" style="125" customWidth="1"/>
    <col min="10" max="10" width="43.85546875" style="125" customWidth="1"/>
    <col min="11" max="11" width="26.28515625" style="125" customWidth="1"/>
    <col min="12" max="12" width="2.42578125" style="125" customWidth="1"/>
    <col min="13" max="16384" width="9.140625" style="126" hidden="1"/>
  </cols>
  <sheetData>
    <row r="1" spans="1:12" ht="24.75" customHeight="1" x14ac:dyDescent="0.2">
      <c r="A1" s="123" t="s">
        <v>264</v>
      </c>
      <c r="B1" s="124" t="s">
        <v>263</v>
      </c>
      <c r="C1" s="123" t="s">
        <v>260</v>
      </c>
      <c r="D1" s="123" t="s">
        <v>261</v>
      </c>
      <c r="E1" s="123" t="s">
        <v>258</v>
      </c>
      <c r="F1" s="123" t="s">
        <v>259</v>
      </c>
      <c r="G1" s="123" t="s">
        <v>262</v>
      </c>
    </row>
    <row r="2" spans="1:12" x14ac:dyDescent="0.2">
      <c r="A2" s="127" t="s">
        <v>41</v>
      </c>
      <c r="B2" s="128" t="str">
        <f>VLOOKUP("AHP_ROUND_DESC",DB_TBL_CONFIG_APP[#All],4,FALSE)</f>
        <v>AHP General Fund 2021</v>
      </c>
      <c r="C2" s="127">
        <v>-1</v>
      </c>
      <c r="D2" s="127"/>
      <c r="E2" s="127"/>
      <c r="F2" s="127"/>
      <c r="G2" s="127"/>
      <c r="H2" s="126"/>
      <c r="I2" s="126"/>
      <c r="J2" s="126"/>
      <c r="K2" s="126"/>
      <c r="L2" s="126"/>
    </row>
    <row r="3" spans="1:12" x14ac:dyDescent="0.2">
      <c r="A3" s="127" t="s">
        <v>80</v>
      </c>
      <c r="B3" s="128" t="str">
        <f>VLOOKUP(A3,DB_TBL_CONFIG_APP[#All],4,FALSE)</f>
        <v>Select Application Type</v>
      </c>
      <c r="C3" s="127">
        <v>-1</v>
      </c>
      <c r="D3" s="127"/>
      <c r="E3" s="127"/>
      <c r="F3" s="127"/>
      <c r="G3" s="127"/>
      <c r="H3" s="126"/>
      <c r="I3" s="126"/>
      <c r="J3" s="126"/>
      <c r="K3" s="126"/>
      <c r="L3" s="126"/>
    </row>
    <row r="4" spans="1:12" ht="23.25" customHeight="1" x14ac:dyDescent="0.2">
      <c r="A4" s="127"/>
      <c r="B4" s="128"/>
      <c r="C4" s="127"/>
      <c r="D4" s="127"/>
      <c r="E4" s="127"/>
      <c r="F4" s="127"/>
      <c r="G4" s="127"/>
      <c r="H4" s="126"/>
      <c r="I4" s="126"/>
      <c r="J4" s="126"/>
      <c r="K4" s="126"/>
      <c r="L4" s="126"/>
    </row>
    <row r="5" spans="1:12" ht="26.25" x14ac:dyDescent="0.4">
      <c r="A5" s="127"/>
      <c r="B5" s="128"/>
      <c r="C5" s="127"/>
      <c r="D5" s="127"/>
      <c r="E5" s="127"/>
      <c r="F5" s="127"/>
      <c r="G5" s="127"/>
      <c r="H5" s="383"/>
      <c r="I5" s="383"/>
      <c r="J5" s="383"/>
      <c r="K5" s="383"/>
      <c r="L5" s="383"/>
    </row>
    <row r="6" spans="1:12" ht="23.25" x14ac:dyDescent="0.35">
      <c r="A6" s="127"/>
      <c r="B6" s="128"/>
      <c r="C6" s="127"/>
      <c r="D6" s="127"/>
      <c r="E6" s="127"/>
      <c r="F6" s="127"/>
      <c r="G6" s="127"/>
      <c r="H6" s="447" t="str">
        <f>VLOOKUP("AHP_ROUND_DESC",DB_TBL_CONFIG_APP[#All],4,FALSE)</f>
        <v>AHP General Fund 2021</v>
      </c>
      <c r="I6" s="447"/>
      <c r="J6" s="447"/>
      <c r="K6" s="447"/>
      <c r="L6" s="447"/>
    </row>
    <row r="7" spans="1:12" ht="40.5" customHeight="1" x14ac:dyDescent="0.2">
      <c r="A7" s="127"/>
      <c r="B7" s="128"/>
      <c r="C7" s="127"/>
      <c r="D7" s="127"/>
      <c r="E7" s="127"/>
      <c r="F7" s="127"/>
      <c r="G7" s="127"/>
      <c r="H7" s="126"/>
      <c r="I7" s="126"/>
      <c r="J7" s="126"/>
      <c r="K7" s="129"/>
      <c r="L7" s="126"/>
    </row>
    <row r="8" spans="1:12" ht="15.75" x14ac:dyDescent="0.2">
      <c r="A8" s="127" t="s">
        <v>10</v>
      </c>
      <c r="B8" s="128" t="str">
        <f>IF(B9=1,"R","O")</f>
        <v>R</v>
      </c>
      <c r="C8" s="127" t="str">
        <f ca="1">VLOOKUP(A8,DB_TBL_DATA_FIELDS[[#All],[FIELD_ID]:[FIELD_STATUS_ICON]],10,FALSE)</f>
        <v>R</v>
      </c>
      <c r="D8" s="127"/>
      <c r="E8" s="127"/>
      <c r="F8" s="127"/>
      <c r="G8" s="127"/>
      <c r="H8" s="126"/>
      <c r="I8" s="384" t="str">
        <f>$B$13</f>
        <v>I'd like to fill out an AHP General Fund Application for a</v>
      </c>
      <c r="J8" s="137" t="s">
        <v>45</v>
      </c>
      <c r="K8" s="445" t="str">
        <f>HYPERLINK("#"&amp;$B$12,$B$11)</f>
        <v>Start Rental Project Application</v>
      </c>
      <c r="L8" s="126"/>
    </row>
    <row r="9" spans="1:12" ht="20.25" x14ac:dyDescent="0.2">
      <c r="A9" s="127" t="s">
        <v>52</v>
      </c>
      <c r="B9" s="130">
        <v>1</v>
      </c>
      <c r="C9" s="127"/>
      <c r="D9" s="127"/>
      <c r="E9" s="127"/>
      <c r="F9" s="127"/>
      <c r="G9" s="127"/>
      <c r="H9" s="126"/>
      <c r="I9" s="131"/>
      <c r="J9" s="137" t="s">
        <v>47</v>
      </c>
      <c r="K9" s="446"/>
      <c r="L9" s="126"/>
    </row>
    <row r="10" spans="1:12" ht="18" customHeight="1" x14ac:dyDescent="0.2">
      <c r="A10" s="127" t="s">
        <v>36</v>
      </c>
      <c r="B10" s="128" t="str">
        <f>IF(B8="R","Rental","Owner-Occupied")&amp;" Project"</f>
        <v>Rental Project</v>
      </c>
      <c r="C10" s="127"/>
      <c r="D10" s="127"/>
      <c r="E10" s="127"/>
      <c r="F10" s="127"/>
      <c r="G10" s="127"/>
      <c r="H10" s="126"/>
      <c r="I10" s="131"/>
      <c r="J10" s="132"/>
      <c r="K10" s="126"/>
      <c r="L10" s="126"/>
    </row>
    <row r="11" spans="1:12" ht="94.5" customHeight="1" x14ac:dyDescent="0.2">
      <c r="A11" s="127" t="s">
        <v>53</v>
      </c>
      <c r="B11" s="128" t="str">
        <f>"Start "&amp;B10&amp;" Application"</f>
        <v>Start Rental Project Application</v>
      </c>
      <c r="C11" s="127">
        <v>-1</v>
      </c>
      <c r="D11" s="127"/>
      <c r="E11" s="127"/>
      <c r="F11" s="127"/>
      <c r="G11" s="127"/>
      <c r="H11" s="126"/>
      <c r="I11" s="444" t="str">
        <f>CONFIG_SUBMISSION_DEADLINE</f>
        <v>The application, including all supporting documents, must be electronically submitted via the Federal Home Loan Bank of San Francisco’s secure portal, no later than 5:00 pm Pacific Time, Wednesday, March 10, 2021.
For detailed information on application eligibility requirements and scoring category criteria, refer to the current Implementation Plan available on fhlbsf.com.</v>
      </c>
      <c r="J11" s="444"/>
      <c r="K11" s="444"/>
      <c r="L11" s="126"/>
    </row>
    <row r="12" spans="1:12" ht="18" customHeight="1" x14ac:dyDescent="0.2">
      <c r="A12" s="127" t="s">
        <v>54</v>
      </c>
      <c r="B12" s="128" t="str">
        <f>VLOOKUP("WORKFLOW_START_"&amp;WELCOME!B8,DB_TBL_CONFIG_APP[#All],4,FALSE)</f>
        <v>TARGET_RENTAL_TOP</v>
      </c>
      <c r="C12" s="127">
        <v>-1</v>
      </c>
      <c r="D12" s="127"/>
      <c r="E12" s="127"/>
      <c r="F12" s="127"/>
      <c r="G12" s="127"/>
      <c r="H12" s="126"/>
      <c r="I12" s="126"/>
      <c r="J12" s="126"/>
      <c r="K12" s="126"/>
      <c r="L12" s="126"/>
    </row>
    <row r="13" spans="1:12" ht="21.75" customHeight="1" x14ac:dyDescent="0.2">
      <c r="A13" s="127" t="s">
        <v>315</v>
      </c>
      <c r="B13" s="128" t="str">
        <f>"I'd like to fill out an AHP General Fund Application for a"&amp;IF(B8="R","","n")</f>
        <v>I'd like to fill out an AHP General Fund Application for a</v>
      </c>
      <c r="C13" s="127"/>
      <c r="D13" s="127"/>
      <c r="E13" s="127"/>
      <c r="F13" s="127"/>
      <c r="G13" s="127"/>
      <c r="H13" s="133"/>
      <c r="I13" s="134"/>
      <c r="J13" s="133"/>
      <c r="K13" s="133"/>
      <c r="L13" s="133"/>
    </row>
    <row r="14" spans="1:12" ht="21.95" customHeight="1" x14ac:dyDescent="0.2">
      <c r="A14" s="127" t="s">
        <v>3413</v>
      </c>
      <c r="B14" s="128" t="str">
        <f>CONFIG_SUBMISSION_DEADLINE</f>
        <v>The application, including all supporting documents, must be electronically submitted via the Federal Home Loan Bank of San Francisco’s secure portal, no later than 5:00 pm Pacific Time, Wednesday, March 10, 2021.
For detailed information on application eligibility requirements and scoring category criteria, refer to the current Implementation Plan available on fhlbsf.com.</v>
      </c>
      <c r="C14" s="127"/>
      <c r="D14" s="127"/>
      <c r="E14" s="127"/>
      <c r="F14" s="127"/>
      <c r="G14" s="127"/>
    </row>
    <row r="15" spans="1:12" ht="21.95" hidden="1" customHeight="1" x14ac:dyDescent="0.2">
      <c r="A15" s="127" t="s">
        <v>2378</v>
      </c>
      <c r="B15" s="128" t="e">
        <f>'$DB.CONFIG'!#REF!</f>
        <v>#REF!</v>
      </c>
      <c r="C15" s="127"/>
      <c r="D15" s="127"/>
      <c r="E15" s="127"/>
      <c r="F15" s="127"/>
      <c r="G15" s="127"/>
    </row>
    <row r="16" spans="1:12" ht="21.95" hidden="1" customHeight="1" x14ac:dyDescent="0.2">
      <c r="A16" s="127" t="s">
        <v>2379</v>
      </c>
      <c r="B16" s="128" t="e">
        <f>'$DB.CONFIG'!#REF!</f>
        <v>#REF!</v>
      </c>
      <c r="C16" s="127"/>
      <c r="D16" s="127"/>
      <c r="E16" s="127"/>
      <c r="F16" s="127"/>
      <c r="G16" s="127"/>
    </row>
    <row r="17" spans="1:7" ht="21.95" hidden="1" customHeight="1" x14ac:dyDescent="0.2">
      <c r="A17" s="127" t="s">
        <v>2380</v>
      </c>
      <c r="B17" s="128" t="e">
        <f>'$DB.CONFIG'!#REF!</f>
        <v>#REF!</v>
      </c>
      <c r="C17" s="127"/>
      <c r="D17" s="127"/>
      <c r="E17" s="127"/>
      <c r="F17" s="127"/>
      <c r="G17" s="127"/>
    </row>
    <row r="18" spans="1:7" ht="21.95" hidden="1" customHeight="1" x14ac:dyDescent="0.2">
      <c r="A18" s="127" t="s">
        <v>2381</v>
      </c>
      <c r="B18" s="128" t="e">
        <f>'$DB.CONFIG'!#REF!</f>
        <v>#REF!</v>
      </c>
      <c r="C18" s="127"/>
      <c r="D18" s="127"/>
      <c r="E18" s="127"/>
      <c r="F18" s="127"/>
      <c r="G18" s="127"/>
    </row>
    <row r="19" spans="1:7" ht="21.95" hidden="1" customHeight="1" x14ac:dyDescent="0.2">
      <c r="A19" s="127" t="s">
        <v>2382</v>
      </c>
      <c r="B19" s="128" t="e">
        <f>'$DB.CONFIG'!#REF!</f>
        <v>#REF!</v>
      </c>
      <c r="C19" s="127"/>
      <c r="D19" s="127"/>
      <c r="E19" s="127"/>
      <c r="F19" s="127"/>
      <c r="G19" s="127"/>
    </row>
    <row r="20" spans="1:7" ht="21.95" hidden="1" customHeight="1" x14ac:dyDescent="0.2">
      <c r="A20" s="127" t="s">
        <v>2383</v>
      </c>
      <c r="B20" s="128" t="e">
        <f>'$DB.CONFIG'!#REF!</f>
        <v>#REF!</v>
      </c>
      <c r="C20" s="127"/>
      <c r="D20" s="127"/>
      <c r="E20" s="127"/>
      <c r="F20" s="127"/>
      <c r="G20" s="127"/>
    </row>
  </sheetData>
  <sheetProtection algorithmName="SHA-512" hashValue="d4PG2WiRvYwqCn1bsWMn9e2ILquoK9eh5jGHe5sEQUjQjXG7fnVkX8Unk65oqYeNjsqX5XSXpWhdsKv9h2GJug==" saltValue="yMOlHNwEZtPGS1xe9b8+Gg==" spinCount="100000" sheet="1" objects="1" scenarios="1"/>
  <mergeCells count="3">
    <mergeCell ref="I11:K11"/>
    <mergeCell ref="K8:K9"/>
    <mergeCell ref="H6:L6"/>
  </mergeCells>
  <conditionalFormatting sqref="J8">
    <cfRule type="expression" dxfId="349" priority="3">
      <formula>($B$8="R")</formula>
    </cfRule>
  </conditionalFormatting>
  <conditionalFormatting sqref="J9">
    <cfRule type="expression" dxfId="348" priority="2">
      <formula>($B$8="O")</formula>
    </cfRule>
  </conditionalFormatting>
  <pageMargins left="0.7" right="0.7" top="0.75" bottom="0.75" header="0.3" footer="0.3"/>
  <pageSetup orientation="landscape" r:id="rId1"/>
  <headerFooter>
    <oddFooter>&amp;L&amp;"Calibri"&amp;11&amp;K000000&amp;8Affordable Housing Program Application_x000D_&amp;1#&amp;"Calibri"&amp;9&amp;K0000FFFHLBank San Francisco | Internal</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20" r:id="rId4" name="APP_TYPE_RENTAL">
              <controlPr defaultSize="0" autoFill="0" autoLine="0" autoPict="0">
                <anchor moveWithCells="1">
                  <from>
                    <xdr:col>9</xdr:col>
                    <xdr:colOff>9525</xdr:colOff>
                    <xdr:row>7</xdr:row>
                    <xdr:rowOff>0</xdr:rowOff>
                  </from>
                  <to>
                    <xdr:col>9</xdr:col>
                    <xdr:colOff>2905125</xdr:colOff>
                    <xdr:row>8</xdr:row>
                    <xdr:rowOff>19050</xdr:rowOff>
                  </to>
                </anchor>
              </controlPr>
            </control>
          </mc:Choice>
        </mc:AlternateContent>
        <mc:AlternateContent xmlns:mc="http://schemas.openxmlformats.org/markup-compatibility/2006">
          <mc:Choice Requires="x14">
            <control shapeId="9221" r:id="rId5" name="APP_TYPE_OWNER">
              <controlPr defaultSize="0" autoFill="0" autoLine="0" autoPict="0">
                <anchor moveWithCells="1">
                  <from>
                    <xdr:col>9</xdr:col>
                    <xdr:colOff>9525</xdr:colOff>
                    <xdr:row>8</xdr:row>
                    <xdr:rowOff>19050</xdr:rowOff>
                  </from>
                  <to>
                    <xdr:col>9</xdr:col>
                    <xdr:colOff>2905125</xdr:colOff>
                    <xdr:row>8</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AG978"/>
  <sheetViews>
    <sheetView showGridLines="0" showRowColHeaders="0" topLeftCell="H1" zoomScaleNormal="100" zoomScaleSheetLayoutView="100" workbookViewId="0">
      <pane ySplit="4" topLeftCell="A5" activePane="bottomLeft" state="frozen"/>
      <selection pane="bottomLeft" activeCell="H5" sqref="H5"/>
    </sheetView>
  </sheetViews>
  <sheetFormatPr defaultColWidth="0" defaultRowHeight="14.25" zeroHeight="1" x14ac:dyDescent="0.2"/>
  <cols>
    <col min="1" max="1" width="27.5703125" style="303" hidden="1" customWidth="1"/>
    <col min="2" max="2" width="15.7109375" style="304" hidden="1" customWidth="1"/>
    <col min="3" max="7" width="15.7109375" style="303" hidden="1" customWidth="1"/>
    <col min="8" max="8" width="2.42578125" style="146" customWidth="1"/>
    <col min="9" max="9" width="10.7109375" style="146" customWidth="1"/>
    <col min="10" max="10" width="2.7109375" style="145" customWidth="1"/>
    <col min="11" max="11" width="10.7109375" style="146" customWidth="1"/>
    <col min="12" max="12" width="2.7109375" style="145" customWidth="1"/>
    <col min="13" max="13" width="10.7109375" style="146" customWidth="1"/>
    <col min="14" max="14" width="2.7109375" style="145" customWidth="1"/>
    <col min="15" max="15" width="10.7109375" style="146" customWidth="1"/>
    <col min="16" max="16" width="2.7109375" style="145" customWidth="1"/>
    <col min="17" max="17" width="10.7109375" style="146" customWidth="1"/>
    <col min="18" max="18" width="2.7109375" style="145" customWidth="1"/>
    <col min="19" max="19" width="10.7109375" style="146" customWidth="1"/>
    <col min="20" max="20" width="2.7109375" style="145" customWidth="1"/>
    <col min="21" max="21" width="10.7109375" style="146" customWidth="1"/>
    <col min="22" max="22" width="2.7109375" style="145" customWidth="1"/>
    <col min="23" max="23" width="10.7109375" style="146" customWidth="1"/>
    <col min="24" max="24" width="2.7109375" style="145" customWidth="1"/>
    <col min="25" max="25" width="2.42578125" style="146" customWidth="1"/>
    <col min="26" max="26" width="9.140625" style="138" hidden="1" customWidth="1"/>
    <col min="27" max="27" width="19.5703125" style="138" hidden="1" customWidth="1"/>
    <col min="28" max="28" width="28.85546875" style="138" hidden="1" customWidth="1"/>
    <col min="29" max="29" width="42" style="138" hidden="1" customWidth="1"/>
    <col min="30" max="30" width="29.85546875" style="138" hidden="1" customWidth="1"/>
    <col min="31" max="31" width="29.140625" style="138" hidden="1" customWidth="1"/>
    <col min="32" max="32" width="31.85546875" style="138" hidden="1" customWidth="1"/>
    <col min="33" max="33" width="32.85546875" style="138" hidden="1" customWidth="1"/>
    <col min="34" max="16384" width="9.140625" style="138" hidden="1"/>
  </cols>
  <sheetData>
    <row r="1" spans="1:29" ht="45" customHeight="1" thickBot="1" x14ac:dyDescent="0.25">
      <c r="A1" s="274" t="s">
        <v>264</v>
      </c>
      <c r="B1" s="275" t="s">
        <v>263</v>
      </c>
      <c r="C1" s="274" t="s">
        <v>260</v>
      </c>
      <c r="D1" s="274" t="s">
        <v>261</v>
      </c>
      <c r="E1" s="274" t="s">
        <v>258</v>
      </c>
      <c r="F1" s="274" t="s">
        <v>259</v>
      </c>
      <c r="G1" s="276" t="s">
        <v>262</v>
      </c>
      <c r="H1" s="195"/>
      <c r="I1" s="195"/>
      <c r="J1" s="196"/>
      <c r="K1" s="195"/>
      <c r="L1" s="196"/>
      <c r="M1" s="195"/>
      <c r="N1" s="196"/>
      <c r="O1" s="195"/>
      <c r="P1" s="196"/>
      <c r="Q1" s="195"/>
      <c r="R1" s="196"/>
      <c r="S1" s="195"/>
      <c r="T1" s="196"/>
      <c r="U1" s="195"/>
      <c r="V1" s="196"/>
      <c r="W1" s="195"/>
      <c r="X1" s="196"/>
      <c r="Y1" s="195"/>
    </row>
    <row r="2" spans="1:29" ht="3" customHeight="1" x14ac:dyDescent="0.2">
      <c r="A2" s="277"/>
      <c r="B2" s="278"/>
      <c r="C2" s="277"/>
      <c r="D2" s="277"/>
      <c r="E2" s="277"/>
      <c r="F2" s="277"/>
      <c r="G2" s="277"/>
      <c r="H2" s="154"/>
      <c r="I2" s="155"/>
      <c r="J2" s="155"/>
      <c r="K2" s="155"/>
      <c r="L2" s="155"/>
      <c r="M2" s="155"/>
      <c r="N2" s="155"/>
      <c r="O2" s="155"/>
      <c r="P2" s="156"/>
      <c r="Q2" s="156"/>
      <c r="R2" s="197"/>
      <c r="S2" s="184"/>
      <c r="T2" s="197"/>
      <c r="U2" s="197"/>
      <c r="V2" s="197"/>
      <c r="W2" s="197"/>
      <c r="X2" s="197"/>
      <c r="Y2" s="197"/>
    </row>
    <row r="3" spans="1:29" ht="15" customHeight="1" x14ac:dyDescent="0.2">
      <c r="A3" s="277"/>
      <c r="B3" s="278"/>
      <c r="C3" s="277"/>
      <c r="D3" s="277"/>
      <c r="E3" s="277"/>
      <c r="F3" s="277"/>
      <c r="G3" s="277"/>
      <c r="H3" s="198"/>
      <c r="I3" s="155" t="str">
        <f ca="1">(LEFT($B$8,40)&amp;IF(LEN($B$8)&gt;40,"…",""))</f>
        <v/>
      </c>
      <c r="J3" s="155"/>
      <c r="K3" s="155"/>
      <c r="L3" s="155"/>
      <c r="M3" s="155"/>
      <c r="N3" s="155"/>
      <c r="O3" s="155"/>
      <c r="P3" s="156"/>
      <c r="Q3" s="156"/>
      <c r="R3" s="270" t="s">
        <v>2335</v>
      </c>
      <c r="S3" s="139">
        <f ca="1">IF('$DB.DATA'!H10="R",VLOOKUP("APP_PROGRESS_PCT_COMPLETE",DB_TBL_DATA_FIELDS[[FIELD_ID]:[FIELD_VALUE_CLEAN]],10,FALSE),"N/A")</f>
        <v>0</v>
      </c>
      <c r="T3" s="157" t="str">
        <f ca="1">IF(B13&gt;0,0,IF(B9&gt;0,1,IF(S3=1,2,"")))</f>
        <v/>
      </c>
      <c r="U3" s="198"/>
      <c r="V3" s="199"/>
      <c r="W3" s="198"/>
      <c r="X3" s="199"/>
      <c r="Y3" s="198"/>
    </row>
    <row r="4" spans="1:29" ht="3" customHeight="1" x14ac:dyDescent="0.2">
      <c r="A4" s="277"/>
      <c r="B4" s="278"/>
      <c r="C4" s="277"/>
      <c r="D4" s="277"/>
      <c r="E4" s="277"/>
      <c r="F4" s="277"/>
      <c r="G4" s="277"/>
      <c r="H4" s="201"/>
      <c r="I4" s="158"/>
      <c r="J4" s="158"/>
      <c r="K4" s="158"/>
      <c r="L4" s="158"/>
      <c r="M4" s="158"/>
      <c r="N4" s="158"/>
      <c r="O4" s="158"/>
      <c r="P4" s="159"/>
      <c r="Q4" s="159"/>
      <c r="R4" s="200"/>
      <c r="S4" s="201"/>
      <c r="T4" s="200"/>
      <c r="U4" s="201"/>
      <c r="V4" s="200"/>
      <c r="W4" s="201"/>
      <c r="X4" s="200"/>
      <c r="Y4" s="201"/>
    </row>
    <row r="5" spans="1:29" ht="3.95" customHeight="1" x14ac:dyDescent="0.2">
      <c r="A5" s="277"/>
      <c r="B5" s="278"/>
      <c r="C5" s="277"/>
      <c r="D5" s="277"/>
      <c r="E5" s="277"/>
      <c r="F5" s="277"/>
      <c r="G5" s="277"/>
      <c r="H5" s="203"/>
      <c r="I5" s="160"/>
      <c r="J5" s="160"/>
      <c r="K5" s="160"/>
      <c r="L5" s="160"/>
      <c r="M5" s="160"/>
      <c r="N5" s="160"/>
      <c r="O5" s="160"/>
      <c r="P5" s="161"/>
      <c r="Q5" s="161"/>
      <c r="R5" s="140"/>
      <c r="S5" s="202"/>
      <c r="T5" s="140"/>
      <c r="U5" s="202"/>
      <c r="V5" s="140"/>
      <c r="W5" s="202"/>
      <c r="X5" s="140"/>
      <c r="Y5" s="202"/>
    </row>
    <row r="6" spans="1:29" ht="18" customHeight="1" x14ac:dyDescent="0.2">
      <c r="A6" s="279" t="s">
        <v>41</v>
      </c>
      <c r="B6" s="280" t="str">
        <f>VLOOKUP("AHP_ROUND_DESC",DB_TBL_CONFIG_APP[#All],4,FALSE)</f>
        <v>AHP General Fund 2021</v>
      </c>
      <c r="C6" s="279"/>
      <c r="D6" s="279"/>
      <c r="E6" s="279"/>
      <c r="F6" s="279"/>
      <c r="G6" s="279"/>
      <c r="H6" s="162" t="str">
        <f ca="1">B11</f>
        <v/>
      </c>
      <c r="I6" s="642" t="str">
        <f ca="1">B12</f>
        <v/>
      </c>
      <c r="J6" s="643"/>
      <c r="K6" s="643"/>
      <c r="L6" s="643"/>
      <c r="M6" s="643"/>
      <c r="N6" s="643"/>
      <c r="O6" s="643"/>
      <c r="P6" s="643"/>
      <c r="Q6" s="643"/>
      <c r="R6" s="643"/>
      <c r="S6" s="643"/>
      <c r="T6" s="643"/>
      <c r="U6" s="643"/>
      <c r="V6" s="643"/>
      <c r="W6" s="643"/>
      <c r="X6" s="643"/>
      <c r="Y6" s="643"/>
    </row>
    <row r="7" spans="1:29" ht="3.95" customHeight="1" x14ac:dyDescent="0.2">
      <c r="A7" s="279" t="s">
        <v>76</v>
      </c>
      <c r="B7" s="280" t="str">
        <f>VLOOKUP(A7,DB_TBL_CONFIG_APP[#All],4,FALSE)</f>
        <v>Rental Project</v>
      </c>
      <c r="C7" s="279"/>
      <c r="D7" s="279"/>
      <c r="E7" s="279"/>
      <c r="F7" s="279"/>
      <c r="G7" s="279"/>
      <c r="H7" s="162"/>
      <c r="I7" s="162"/>
      <c r="J7" s="162"/>
      <c r="K7" s="162"/>
      <c r="L7" s="162"/>
      <c r="M7" s="162"/>
      <c r="N7" s="162"/>
      <c r="O7" s="162"/>
      <c r="P7" s="162"/>
      <c r="Q7" s="162"/>
      <c r="R7" s="162"/>
      <c r="S7" s="162"/>
      <c r="T7" s="162"/>
      <c r="U7" s="162"/>
      <c r="V7" s="162"/>
      <c r="W7" s="162"/>
      <c r="X7" s="162"/>
      <c r="Y7" s="162"/>
    </row>
    <row r="8" spans="1:29" ht="21.95" customHeight="1" x14ac:dyDescent="0.2">
      <c r="A8" s="279" t="s">
        <v>59</v>
      </c>
      <c r="B8" s="280" t="str">
        <f ca="1">IF(VLOOKUP("PROJ_NAME",DB_TBL_DATA_FIELDS[[#All],[FIELD_ID]:[FIELD_VALUE_CLEAN]],10,FALSE)="","",VLOOKUP("PROJ_NAME",DB_TBL_DATA_FIELDS[[#All],[FIELD_ID]:[FIELD_VALUE_CLEAN]],10,FALSE))</f>
        <v/>
      </c>
      <c r="C8" s="281"/>
      <c r="D8" s="281"/>
      <c r="E8" s="279"/>
      <c r="F8" s="279"/>
      <c r="G8" s="279"/>
      <c r="H8" s="162"/>
      <c r="I8" s="163" t="s">
        <v>3411</v>
      </c>
      <c r="J8" s="162"/>
      <c r="K8" s="162"/>
      <c r="L8" s="162"/>
      <c r="M8" s="162"/>
      <c r="N8" s="162"/>
      <c r="O8" s="162"/>
      <c r="P8" s="162"/>
      <c r="Q8" s="162"/>
      <c r="R8" s="162"/>
      <c r="S8" s="162"/>
      <c r="T8" s="162"/>
      <c r="U8" s="162"/>
      <c r="V8" s="162"/>
      <c r="W8" s="162"/>
      <c r="X8" s="162"/>
      <c r="Y8" s="162"/>
    </row>
    <row r="9" spans="1:29" s="142" customFormat="1" ht="21.95" customHeight="1" x14ac:dyDescent="0.2">
      <c r="A9" s="281" t="s">
        <v>2369</v>
      </c>
      <c r="B9" s="282">
        <f ca="1">SUMIF(C:C,"WARNING_COUNT",B:B)</f>
        <v>0</v>
      </c>
      <c r="C9" s="281"/>
      <c r="D9" s="281"/>
      <c r="E9" s="281"/>
      <c r="F9" s="281"/>
      <c r="G9" s="281"/>
      <c r="H9" s="264"/>
      <c r="I9" s="164" t="s">
        <v>28</v>
      </c>
      <c r="J9" s="165">
        <f>1</f>
        <v>1</v>
      </c>
      <c r="K9" s="166"/>
      <c r="L9" s="166"/>
      <c r="M9" s="164" t="s">
        <v>3416</v>
      </c>
      <c r="N9" s="165">
        <f>2</f>
        <v>2</v>
      </c>
      <c r="O9" s="204"/>
      <c r="P9" s="204"/>
      <c r="Q9" s="164" t="s">
        <v>3417</v>
      </c>
      <c r="R9" s="165">
        <f>0</f>
        <v>0</v>
      </c>
      <c r="S9" s="204"/>
      <c r="T9" s="204"/>
      <c r="U9" s="701" t="s">
        <v>3418</v>
      </c>
      <c r="V9" s="702"/>
      <c r="W9" s="702"/>
      <c r="X9" s="703"/>
      <c r="Y9" s="202"/>
    </row>
    <row r="10" spans="1:29" s="142" customFormat="1" ht="15" customHeight="1" x14ac:dyDescent="0.2">
      <c r="A10" s="281" t="s">
        <v>2370</v>
      </c>
      <c r="B10" s="282" t="b">
        <f ca="1">B9&gt;0</f>
        <v>0</v>
      </c>
      <c r="C10" s="281"/>
      <c r="D10" s="281"/>
      <c r="E10" s="281"/>
      <c r="F10" s="281"/>
      <c r="G10" s="281"/>
      <c r="H10" s="202"/>
      <c r="I10" s="202"/>
      <c r="J10" s="140"/>
      <c r="K10" s="202"/>
      <c r="L10" s="140"/>
      <c r="M10" s="202"/>
      <c r="N10" s="140"/>
      <c r="O10" s="202"/>
      <c r="P10" s="140"/>
      <c r="Q10" s="202"/>
      <c r="R10" s="140"/>
      <c r="S10" s="202"/>
      <c r="T10" s="140"/>
      <c r="U10" s="202"/>
      <c r="V10" s="140"/>
      <c r="W10" s="202"/>
      <c r="X10" s="140"/>
      <c r="Y10" s="202"/>
    </row>
    <row r="11" spans="1:29" s="142" customFormat="1" ht="21.95" customHeight="1" thickBot="1" x14ac:dyDescent="0.3">
      <c r="A11" s="281" t="s">
        <v>2371</v>
      </c>
      <c r="B11" s="282" t="str">
        <f ca="1">IF(B10,1,"")</f>
        <v/>
      </c>
      <c r="C11" s="281"/>
      <c r="D11" s="281"/>
      <c r="E11" s="281"/>
      <c r="F11" s="281"/>
      <c r="G11" s="281"/>
      <c r="H11" s="207"/>
      <c r="I11" s="424" t="s">
        <v>350</v>
      </c>
      <c r="J11" s="269"/>
      <c r="K11" s="269"/>
      <c r="L11" s="269"/>
      <c r="M11" s="269"/>
      <c r="N11" s="269"/>
      <c r="O11" s="269"/>
      <c r="P11" s="269"/>
      <c r="Q11" s="269"/>
      <c r="R11" s="269"/>
      <c r="S11" s="269"/>
      <c r="T11" s="269"/>
      <c r="U11" s="269"/>
      <c r="V11" s="269"/>
      <c r="W11" s="269"/>
      <c r="X11" s="167"/>
      <c r="Y11" s="207"/>
      <c r="AA11" s="411" t="s">
        <v>3923</v>
      </c>
    </row>
    <row r="12" spans="1:29" s="142" customFormat="1" ht="21.95" customHeight="1" x14ac:dyDescent="0.2">
      <c r="A12" s="281" t="s">
        <v>2372</v>
      </c>
      <c r="B12" s="280" t="str">
        <f ca="1">IF(B10,B9&amp;" "&amp;'$DB.CONFIG'!$M$5,"")</f>
        <v/>
      </c>
      <c r="C12" s="281"/>
      <c r="D12" s="281"/>
      <c r="E12" s="281"/>
      <c r="F12" s="281"/>
      <c r="G12" s="281"/>
      <c r="H12" s="265"/>
      <c r="I12" s="168" t="s">
        <v>2659</v>
      </c>
      <c r="J12" s="144"/>
      <c r="K12" s="144"/>
      <c r="L12" s="144"/>
      <c r="M12" s="144"/>
      <c r="N12" s="144"/>
      <c r="O12" s="205"/>
      <c r="P12" s="206"/>
      <c r="Q12" s="169" t="s">
        <v>2660</v>
      </c>
      <c r="R12" s="144"/>
      <c r="S12" s="144"/>
      <c r="T12" s="144"/>
      <c r="U12" s="144"/>
      <c r="V12" s="144"/>
      <c r="W12" s="144"/>
      <c r="X12" s="144"/>
      <c r="Y12" s="207"/>
      <c r="AA12" s="410" t="s">
        <v>3750</v>
      </c>
      <c r="AB12" s="410" t="s">
        <v>3752</v>
      </c>
      <c r="AC12" s="410" t="s">
        <v>3751</v>
      </c>
    </row>
    <row r="13" spans="1:29" s="142" customFormat="1" ht="21.95" customHeight="1" x14ac:dyDescent="0.25">
      <c r="A13" s="281" t="s">
        <v>2606</v>
      </c>
      <c r="B13" s="282">
        <f ca="1">SUMIF(C:C,"ERROR_COUNT",B:B)</f>
        <v>0</v>
      </c>
      <c r="C13" s="281"/>
      <c r="D13" s="281"/>
      <c r="E13" s="281"/>
      <c r="F13" s="281"/>
      <c r="G13" s="281"/>
      <c r="H13" s="207"/>
      <c r="I13" s="640" t="str">
        <f t="shared" ref="I13:I18" si="0">CHAR(ROW()-$B$14+1+96)&amp;".     "&amp;IFERROR(VLOOKUP("SECTION_"&amp;(ROW()-$B$14+1)&amp;"_TOC_LABEL",A:B,2,FALSE),"")</f>
        <v>a.     Project Location</v>
      </c>
      <c r="J13" s="641"/>
      <c r="K13" s="641"/>
      <c r="L13" s="641"/>
      <c r="M13" s="641"/>
      <c r="N13" s="162" t="str">
        <f t="shared" ref="N13:N18" si="1">IF(IFERROR(VLOOKUP("SECTION_"&amp;(ROW()-$B$14+1)&amp;"_WARNING_FLAG",A:B,2,FALSE),FALSE),1,"")</f>
        <v/>
      </c>
      <c r="O13" s="170" t="str">
        <f t="shared" ref="O13:O18" ca="1" si="2">IFERROR(VLOOKUP("SECTION_"&amp;(ROW()-$B$14+1)&amp;"_STATUS_TEXT",A:B,2,FALSE),"")</f>
        <v>Not Started</v>
      </c>
      <c r="P13" s="415" t="str">
        <f t="shared" ref="P13:P18" ca="1" si="3">IFERROR(VLOOKUP("SECTION_"&amp;(ROW()-$B$14+1)&amp;"_STATUS_CODE",A:B,2,FALSE),"")</f>
        <v/>
      </c>
      <c r="Q13" s="454" t="str">
        <f t="shared" ref="Q13:Q23" si="4">AB13</f>
        <v>a.     Targeting</v>
      </c>
      <c r="R13" s="637"/>
      <c r="S13" s="637"/>
      <c r="T13" s="637"/>
      <c r="U13" s="637"/>
      <c r="V13" s="162" t="str">
        <f t="shared" ref="V13:V24" si="5">IF(IFERROR(VLOOKUP("SECTION_"&amp;AA13&amp;"_WARNING_FLAG",A:B,2,FALSE),FALSE),1,"")</f>
        <v/>
      </c>
      <c r="W13" s="171" t="str">
        <f t="shared" ref="W13:W24" ca="1" si="6">IFERROR(VLOOKUP("SECTION_"&amp;AA13&amp;"_STATUS_TEXT",A:B,2,FALSE),"")</f>
        <v>Not Started</v>
      </c>
      <c r="X13" s="162" t="str">
        <f t="shared" ref="X13:X24" ca="1" si="7">IFERROR(VLOOKUP("SECTION_"&amp;AA13&amp;"_STATUS_CODE",A:B,2,FALSE),"")</f>
        <v/>
      </c>
      <c r="Y13" s="207"/>
      <c r="AA13" s="410">
        <v>11</v>
      </c>
      <c r="AB13" s="410" t="str">
        <f>IF(AC13&lt;&gt;"",CHAR(ROW()-$B$14+1+96)&amp;".     "&amp;AC13,"")</f>
        <v>a.     Targeting</v>
      </c>
      <c r="AC13" s="412" t="str">
        <f t="shared" ref="AC13:AC25" si="8">IFERROR(VLOOKUP("SECTION_"&amp;AA13&amp;"_TOC_LABEL",A:B,2,FALSE),"")</f>
        <v>Targeting</v>
      </c>
    </row>
    <row r="14" spans="1:29" s="142" customFormat="1" ht="21.95" customHeight="1" x14ac:dyDescent="0.25">
      <c r="A14" s="283" t="s">
        <v>2870</v>
      </c>
      <c r="B14" s="284">
        <f>ROW(H13)</f>
        <v>13</v>
      </c>
      <c r="C14" s="281"/>
      <c r="D14" s="281"/>
      <c r="E14" s="281"/>
      <c r="F14" s="281"/>
      <c r="G14" s="281"/>
      <c r="H14" s="207"/>
      <c r="I14" s="640" t="str">
        <f t="shared" si="0"/>
        <v>b.     Member Information</v>
      </c>
      <c r="J14" s="641"/>
      <c r="K14" s="641"/>
      <c r="L14" s="641"/>
      <c r="M14" s="641"/>
      <c r="N14" s="162" t="str">
        <f t="shared" si="1"/>
        <v/>
      </c>
      <c r="O14" s="170" t="str">
        <f t="shared" ca="1" si="2"/>
        <v>Not Started</v>
      </c>
      <c r="P14" s="416" t="str">
        <f t="shared" ca="1" si="3"/>
        <v/>
      </c>
      <c r="Q14" s="454" t="str">
        <f t="shared" si="4"/>
        <v>b.     Donated or Conveyed Property</v>
      </c>
      <c r="R14" s="637"/>
      <c r="S14" s="637"/>
      <c r="T14" s="637"/>
      <c r="U14" s="637"/>
      <c r="V14" s="402" t="str">
        <f t="shared" ca="1" si="5"/>
        <v/>
      </c>
      <c r="W14" s="171" t="str">
        <f t="shared" ca="1" si="6"/>
        <v>Not Started</v>
      </c>
      <c r="X14" s="402" t="str">
        <f t="shared" ca="1" si="7"/>
        <v/>
      </c>
      <c r="Y14" s="207"/>
      <c r="AA14" s="410">
        <v>12</v>
      </c>
      <c r="AB14" s="410" t="str">
        <f t="shared" ref="AB14:AB24" si="9">IF(AC14&lt;&gt;"",CHAR(ROW()-$B$14+1+96)&amp;".     "&amp;AC14,"")</f>
        <v>b.     Donated or Conveyed Property</v>
      </c>
      <c r="AC14" s="412" t="str">
        <f t="shared" si="8"/>
        <v>Donated or Conveyed Property</v>
      </c>
    </row>
    <row r="15" spans="1:29" s="142" customFormat="1" ht="21.95" customHeight="1" x14ac:dyDescent="0.25">
      <c r="A15" s="283" t="s">
        <v>2871</v>
      </c>
      <c r="B15" s="284">
        <v>22</v>
      </c>
      <c r="C15" s="281"/>
      <c r="D15" s="281"/>
      <c r="E15" s="281"/>
      <c r="F15" s="281"/>
      <c r="G15" s="281"/>
      <c r="H15" s="207"/>
      <c r="I15" s="640" t="str">
        <f t="shared" si="0"/>
        <v>c.     Sponsor Information</v>
      </c>
      <c r="J15" s="641"/>
      <c r="K15" s="641"/>
      <c r="L15" s="641"/>
      <c r="M15" s="641"/>
      <c r="N15" s="162" t="str">
        <f t="shared" si="1"/>
        <v/>
      </c>
      <c r="O15" s="170" t="str">
        <f t="shared" ca="1" si="2"/>
        <v>Not Started</v>
      </c>
      <c r="P15" s="416" t="str">
        <f t="shared" ca="1" si="3"/>
        <v/>
      </c>
      <c r="Q15" s="454" t="str">
        <f t="shared" si="4"/>
        <v>c.     Nonprofit Sponsorship</v>
      </c>
      <c r="R15" s="637"/>
      <c r="S15" s="637"/>
      <c r="T15" s="637"/>
      <c r="U15" s="637"/>
      <c r="V15" s="402" t="str">
        <f t="shared" si="5"/>
        <v/>
      </c>
      <c r="W15" s="171" t="str">
        <f t="shared" ca="1" si="6"/>
        <v>Not Started</v>
      </c>
      <c r="X15" s="402" t="str">
        <f t="shared" ca="1" si="7"/>
        <v/>
      </c>
      <c r="Y15" s="207"/>
      <c r="AA15" s="410">
        <v>13</v>
      </c>
      <c r="AB15" s="410" t="str">
        <f t="shared" si="9"/>
        <v>c.     Nonprofit Sponsorship</v>
      </c>
      <c r="AC15" s="412" t="str">
        <f t="shared" si="8"/>
        <v>Nonprofit Sponsorship</v>
      </c>
    </row>
    <row r="16" spans="1:29" s="142" customFormat="1" ht="21.95" customHeight="1" x14ac:dyDescent="0.25">
      <c r="A16" s="283" t="s">
        <v>2872</v>
      </c>
      <c r="B16" s="284">
        <f>B15-B14+1</f>
        <v>10</v>
      </c>
      <c r="C16" s="281"/>
      <c r="D16" s="281"/>
      <c r="E16" s="281"/>
      <c r="F16" s="281"/>
      <c r="G16" s="281"/>
      <c r="H16" s="207"/>
      <c r="I16" s="640" t="str">
        <f t="shared" si="0"/>
        <v>d.     Subsidy Request</v>
      </c>
      <c r="J16" s="641"/>
      <c r="K16" s="641"/>
      <c r="L16" s="641"/>
      <c r="M16" s="641"/>
      <c r="N16" s="162" t="str">
        <f t="shared" si="1"/>
        <v/>
      </c>
      <c r="O16" s="170" t="str">
        <f t="shared" ca="1" si="2"/>
        <v>Not Started</v>
      </c>
      <c r="P16" s="416" t="str">
        <f t="shared" ca="1" si="3"/>
        <v/>
      </c>
      <c r="Q16" s="454" t="str">
        <f t="shared" si="4"/>
        <v>d.     Homeless Housing</v>
      </c>
      <c r="R16" s="637"/>
      <c r="S16" s="637"/>
      <c r="T16" s="637"/>
      <c r="U16" s="637"/>
      <c r="V16" s="402" t="str">
        <f t="shared" si="5"/>
        <v/>
      </c>
      <c r="W16" s="171" t="str">
        <f t="shared" ca="1" si="6"/>
        <v>Not Started</v>
      </c>
      <c r="X16" s="402" t="str">
        <f t="shared" ca="1" si="7"/>
        <v/>
      </c>
      <c r="Y16" s="207"/>
      <c r="AA16" s="410">
        <v>14</v>
      </c>
      <c r="AB16" s="410" t="str">
        <f t="shared" si="9"/>
        <v>d.     Homeless Housing</v>
      </c>
      <c r="AC16" s="412" t="str">
        <f t="shared" si="8"/>
        <v>Homeless Housing</v>
      </c>
    </row>
    <row r="17" spans="1:29" s="142" customFormat="1" ht="21.95" customHeight="1" x14ac:dyDescent="0.25">
      <c r="A17" s="281"/>
      <c r="B17" s="281"/>
      <c r="C17" s="281"/>
      <c r="D17" s="281"/>
      <c r="E17" s="281"/>
      <c r="F17" s="281"/>
      <c r="G17" s="281"/>
      <c r="H17" s="207"/>
      <c r="I17" s="640" t="str">
        <f t="shared" si="0"/>
        <v>e.     Webinars &amp; Technical Assistance</v>
      </c>
      <c r="J17" s="641"/>
      <c r="K17" s="641"/>
      <c r="L17" s="641"/>
      <c r="M17" s="641"/>
      <c r="N17" s="162" t="str">
        <f t="shared" si="1"/>
        <v/>
      </c>
      <c r="O17" s="170" t="str">
        <f t="shared" ca="1" si="2"/>
        <v>Not Started</v>
      </c>
      <c r="P17" s="416" t="str">
        <f t="shared" ca="1" si="3"/>
        <v/>
      </c>
      <c r="Q17" s="454" t="str">
        <f t="shared" si="4"/>
        <v>e.     Special Needs</v>
      </c>
      <c r="R17" s="637"/>
      <c r="S17" s="637"/>
      <c r="T17" s="637"/>
      <c r="U17" s="637"/>
      <c r="V17" s="402" t="str">
        <f t="shared" si="5"/>
        <v/>
      </c>
      <c r="W17" s="171" t="str">
        <f t="shared" ca="1" si="6"/>
        <v>Not Started</v>
      </c>
      <c r="X17" s="402" t="str">
        <f t="shared" ca="1" si="7"/>
        <v/>
      </c>
      <c r="Y17" s="207"/>
      <c r="AA17" s="410">
        <v>16</v>
      </c>
      <c r="AB17" s="410" t="str">
        <f t="shared" si="9"/>
        <v>e.     Special Needs</v>
      </c>
      <c r="AC17" s="412" t="str">
        <f t="shared" si="8"/>
        <v>Special Needs</v>
      </c>
    </row>
    <row r="18" spans="1:29" s="142" customFormat="1" ht="21.95" customHeight="1" x14ac:dyDescent="0.25">
      <c r="A18" s="285" t="s">
        <v>160</v>
      </c>
      <c r="B18" s="305" t="s">
        <v>149</v>
      </c>
      <c r="C18" s="286"/>
      <c r="D18" s="287"/>
      <c r="E18" s="287"/>
      <c r="F18" s="287"/>
      <c r="G18" s="172" t="str">
        <f>B34</f>
        <v>Project Location</v>
      </c>
      <c r="H18" s="207"/>
      <c r="I18" s="640" t="str">
        <f t="shared" si="0"/>
        <v>f.     Project Type and Characteristics</v>
      </c>
      <c r="J18" s="641"/>
      <c r="K18" s="641"/>
      <c r="L18" s="641"/>
      <c r="M18" s="641"/>
      <c r="N18" s="162" t="str">
        <f t="shared" si="1"/>
        <v/>
      </c>
      <c r="O18" s="170" t="str">
        <f t="shared" ca="1" si="2"/>
        <v>Not Started</v>
      </c>
      <c r="P18" s="416" t="str">
        <f t="shared" ca="1" si="3"/>
        <v/>
      </c>
      <c r="Q18" s="454" t="str">
        <f t="shared" si="4"/>
        <v>f.     Large Units</v>
      </c>
      <c r="R18" s="637"/>
      <c r="S18" s="637"/>
      <c r="T18" s="637"/>
      <c r="U18" s="637"/>
      <c r="V18" s="402" t="str">
        <f t="shared" si="5"/>
        <v/>
      </c>
      <c r="W18" s="171" t="str">
        <f t="shared" ca="1" si="6"/>
        <v>Not Started</v>
      </c>
      <c r="X18" s="402" t="str">
        <f t="shared" ca="1" si="7"/>
        <v/>
      </c>
      <c r="Y18" s="207"/>
      <c r="AA18" s="410">
        <v>21</v>
      </c>
      <c r="AB18" s="410" t="str">
        <f t="shared" si="9"/>
        <v>f.     Large Units</v>
      </c>
      <c r="AC18" s="412" t="str">
        <f t="shared" si="8"/>
        <v>Large Units</v>
      </c>
    </row>
    <row r="19" spans="1:29" s="142" customFormat="1" ht="21.95" customHeight="1" x14ac:dyDescent="0.25">
      <c r="A19" s="273" t="s">
        <v>60</v>
      </c>
      <c r="B19" s="288" t="str">
        <f>IF(I30=0,"",I30)</f>
        <v/>
      </c>
      <c r="C19" s="281">
        <f ca="1">VLOOKUP(A19,DB_TBL_DATA_FIELDS[[FIELD_ID]:[PCT_CALC_FIELD_STATUS_CODE]],22,FALSE)</f>
        <v>1</v>
      </c>
      <c r="D19" s="281" t="str">
        <f>IF(VLOOKUP(A19,DB_TBL_DATA_FIELDS[[FIELD_ID]:[ERROR_MESSAGE]],23,FALSE)&lt;&gt;0,VLOOKUP(A19,DB_TBL_DATA_FIELDS[[FIELD_ID]:[ERROR_MESSAGE]],23,FALSE),"")</f>
        <v/>
      </c>
      <c r="E19" s="281">
        <f>VLOOKUP(A19,DB_TBL_DATA_FIELDS[[#All],[FIELD_ID]:[RANGE_VALIDATION_MAX]],18,FALSE)</f>
        <v>0</v>
      </c>
      <c r="F19" s="281">
        <f>VLOOKUP(A19,DB_TBL_DATA_FIELDS[[#All],[FIELD_ID]:[RANGE_VALIDATION_MAX]],19,FALSE)</f>
        <v>100</v>
      </c>
      <c r="G19" s="281">
        <f ca="1">IF(C19&lt;0,"",C19)</f>
        <v>1</v>
      </c>
      <c r="H19" s="207"/>
      <c r="I19" s="638" t="s">
        <v>3599</v>
      </c>
      <c r="J19" s="639"/>
      <c r="K19" s="639"/>
      <c r="L19" s="639"/>
      <c r="M19" s="639"/>
      <c r="N19" s="162"/>
      <c r="O19" s="170"/>
      <c r="P19" s="416"/>
      <c r="Q19" s="454" t="str">
        <f t="shared" si="4"/>
        <v>g.     Rural</v>
      </c>
      <c r="R19" s="637"/>
      <c r="S19" s="637"/>
      <c r="T19" s="637"/>
      <c r="U19" s="637"/>
      <c r="V19" s="402" t="str">
        <f t="shared" si="5"/>
        <v/>
      </c>
      <c r="W19" s="171" t="str">
        <f t="shared" ca="1" si="6"/>
        <v>Not Started</v>
      </c>
      <c r="X19" s="402" t="str">
        <f t="shared" ca="1" si="7"/>
        <v/>
      </c>
      <c r="Y19" s="207"/>
      <c r="AA19" s="410">
        <v>17</v>
      </c>
      <c r="AB19" s="410" t="str">
        <f t="shared" si="9"/>
        <v>g.     Rural</v>
      </c>
      <c r="AC19" s="412" t="str">
        <f t="shared" si="8"/>
        <v>Rural</v>
      </c>
    </row>
    <row r="20" spans="1:29" s="142" customFormat="1" ht="21.95" customHeight="1" x14ac:dyDescent="0.25">
      <c r="A20" s="273" t="s">
        <v>177</v>
      </c>
      <c r="B20" s="288" t="str">
        <f>IF(I32=0,"",I32)</f>
        <v/>
      </c>
      <c r="C20" s="281">
        <f ca="1">VLOOKUP(A20,DB_TBL_DATA_FIELDS[[FIELD_ID]:[PCT_CALC_FIELD_STATUS_CODE]],22,FALSE)</f>
        <v>1</v>
      </c>
      <c r="D20" s="281" t="str">
        <f>IF(VLOOKUP(A20,DB_TBL_DATA_FIELDS[[FIELD_ID]:[ERROR_MESSAGE]],23,FALSE)&lt;&gt;0,VLOOKUP(A20,DB_TBL_DATA_FIELDS[[FIELD_ID]:[ERROR_MESSAGE]],23,FALSE),"")</f>
        <v/>
      </c>
      <c r="E20" s="281">
        <f>VLOOKUP(A20,DB_TBL_DATA_FIELDS[[#All],[FIELD_ID]:[RANGE_VALIDATION_MAX]],18,FALSE)</f>
        <v>0</v>
      </c>
      <c r="F20" s="281">
        <f>VLOOKUP(A20,DB_TBL_DATA_FIELDS[[#All],[FIELD_ID]:[RANGE_VALIDATION_MAX]],19,FALSE)</f>
        <v>60</v>
      </c>
      <c r="G20" s="281">
        <f t="shared" ref="G20:G25" ca="1" si="10">IF(C20&lt;0,"",C20)</f>
        <v>1</v>
      </c>
      <c r="H20" s="207"/>
      <c r="I20" s="640" t="str">
        <f>CHAR(ROW()-$B$14+96)&amp;".     "&amp;IFERROR(VLOOKUP("SECTION_"&amp;(ROW()-$B$14)&amp;"_TOC_LABEL",A:B,2,FALSE),"")</f>
        <v>g.     Timing and Use of Funds</v>
      </c>
      <c r="J20" s="641"/>
      <c r="K20" s="641"/>
      <c r="L20" s="641"/>
      <c r="M20" s="641"/>
      <c r="N20" s="162" t="str">
        <f>IF(IFERROR(VLOOKUP("SECTION_"&amp;(ROW()-$B$14)&amp;"_WARNING_FLAG",A:B,2,FALSE),FALSE),1,"")</f>
        <v/>
      </c>
      <c r="O20" s="170" t="str">
        <f ca="1">IFERROR(VLOOKUP("SECTION_"&amp;(ROW()-$B$14)&amp;"_STATUS_TEXT",A:B,2,FALSE),"")</f>
        <v>Not Started</v>
      </c>
      <c r="P20" s="416" t="str">
        <f ca="1">IFERROR(VLOOKUP("SECTION_"&amp;(ROW()-$B$14)&amp;"_STATUS_CODE",A:B,2,FALSE),"")</f>
        <v/>
      </c>
      <c r="Q20" s="454" t="str">
        <f t="shared" si="4"/>
        <v>h.     Promotion of Empowerment</v>
      </c>
      <c r="R20" s="637"/>
      <c r="S20" s="637"/>
      <c r="T20" s="637"/>
      <c r="U20" s="637"/>
      <c r="V20" s="402" t="str">
        <f t="shared" si="5"/>
        <v/>
      </c>
      <c r="W20" s="171" t="str">
        <f t="shared" ca="1" si="6"/>
        <v>Not Started</v>
      </c>
      <c r="X20" s="402" t="str">
        <f t="shared" ca="1" si="7"/>
        <v/>
      </c>
      <c r="Y20" s="207"/>
      <c r="AA20" s="410">
        <v>15</v>
      </c>
      <c r="AB20" s="410" t="str">
        <f t="shared" si="9"/>
        <v>h.     Promotion of Empowerment</v>
      </c>
      <c r="AC20" s="412" t="str">
        <f t="shared" si="8"/>
        <v>Promotion of Empowerment</v>
      </c>
    </row>
    <row r="21" spans="1:29" s="142" customFormat="1" ht="21.95" customHeight="1" x14ac:dyDescent="0.25">
      <c r="A21" s="273" t="s">
        <v>178</v>
      </c>
      <c r="B21" s="288" t="str">
        <f>IF(Q32=0,"",Q32)</f>
        <v/>
      </c>
      <c r="C21" s="281">
        <f ca="1">VLOOKUP(A21,DB_TBL_DATA_FIELDS[[FIELD_ID]:[PCT_CALC_FIELD_STATUS_CODE]],22,FALSE)</f>
        <v>1</v>
      </c>
      <c r="D21" s="281" t="str">
        <f>IF(VLOOKUP(A21,DB_TBL_DATA_FIELDS[[FIELD_ID]:[ERROR_MESSAGE]],23,FALSE)&lt;&gt;0,VLOOKUP(A21,DB_TBL_DATA_FIELDS[[FIELD_ID]:[ERROR_MESSAGE]],23,FALSE),"")</f>
        <v/>
      </c>
      <c r="E21" s="281">
        <f>VLOOKUP(A21,DB_TBL_DATA_FIELDS[[#All],[FIELD_ID]:[RANGE_VALIDATION_MAX]],18,FALSE)</f>
        <v>0</v>
      </c>
      <c r="F21" s="281">
        <f>VLOOKUP(A21,DB_TBL_DATA_FIELDS[[#All],[FIELD_ID]:[RANGE_VALIDATION_MAX]],19,FALSE)</f>
        <v>30</v>
      </c>
      <c r="G21" s="281">
        <f t="shared" ca="1" si="10"/>
        <v>1</v>
      </c>
      <c r="H21" s="207"/>
      <c r="I21" s="640" t="str">
        <f>CHAR(ROW()-$B$14+96)&amp;".     "&amp;IFERROR(VLOOKUP("SECTION_"&amp;(ROW()-$B$14)&amp;"_TOC_LABEL",A:B,2,FALSE),"")</f>
        <v>h.     Member Involvement</v>
      </c>
      <c r="J21" s="641"/>
      <c r="K21" s="641"/>
      <c r="L21" s="641"/>
      <c r="M21" s="641"/>
      <c r="N21" s="332" t="str">
        <f>IF(IFERROR(VLOOKUP("SECTION_"&amp;(ROW()-$B$14)&amp;"_WARNING_FLAG",A:B,2,FALSE),FALSE),1,"")</f>
        <v/>
      </c>
      <c r="O21" s="170" t="str">
        <f ca="1">IFERROR(VLOOKUP("SECTION_"&amp;(ROW()-$B$14)&amp;"_STATUS_TEXT",A:B,2,FALSE),"")</f>
        <v>Not Started</v>
      </c>
      <c r="P21" s="416" t="str">
        <f ca="1">IFERROR(VLOOKUP("SECTION_"&amp;(ROW()-$B$14)&amp;"_STATUS_CODE",A:B,2,FALSE),"")</f>
        <v/>
      </c>
      <c r="Q21" s="454" t="str">
        <f t="shared" si="4"/>
        <v>i.     Community Stability</v>
      </c>
      <c r="R21" s="637"/>
      <c r="S21" s="637"/>
      <c r="T21" s="637"/>
      <c r="U21" s="637"/>
      <c r="V21" s="402" t="str">
        <f t="shared" si="5"/>
        <v/>
      </c>
      <c r="W21" s="171" t="str">
        <f t="shared" ca="1" si="6"/>
        <v>Not Started</v>
      </c>
      <c r="X21" s="402" t="str">
        <f t="shared" ca="1" si="7"/>
        <v/>
      </c>
      <c r="Y21" s="207"/>
      <c r="AA21" s="410">
        <v>20</v>
      </c>
      <c r="AB21" s="410" t="str">
        <f t="shared" si="9"/>
        <v>i.     Community Stability</v>
      </c>
      <c r="AC21" s="412" t="str">
        <f t="shared" si="8"/>
        <v>Community Stability</v>
      </c>
    </row>
    <row r="22" spans="1:29" s="142" customFormat="1" ht="21.95" customHeight="1" x14ac:dyDescent="0.25">
      <c r="A22" s="273" t="s">
        <v>179</v>
      </c>
      <c r="B22" s="288" t="str">
        <f>IF(W32=0,"",W32)</f>
        <v/>
      </c>
      <c r="C22" s="281">
        <f ca="1">VLOOKUP(A22,DB_TBL_DATA_FIELDS[[FIELD_ID]:[PCT_CALC_FIELD_STATUS_CODE]],22,FALSE)</f>
        <v>1</v>
      </c>
      <c r="D22" s="281" t="str">
        <f>IF(VLOOKUP(A22,DB_TBL_DATA_FIELDS[[FIELD_ID]:[ERROR_MESSAGE]],23,FALSE)&lt;&gt;0,VLOOKUP(A22,DB_TBL_DATA_FIELDS[[FIELD_ID]:[ERROR_MESSAGE]],23,FALSE),"")</f>
        <v/>
      </c>
      <c r="E22" s="281">
        <f>VLOOKUP(A22,DB_TBL_DATA_FIELDS[[#All],[FIELD_ID]:[RANGE_VALIDATION_MAX]],18,FALSE)</f>
        <v>2</v>
      </c>
      <c r="F22" s="281">
        <f>VLOOKUP(A22,DB_TBL_DATA_FIELDS[[#All],[FIELD_ID]:[RANGE_VALIDATION_MAX]],19,FALSE)</f>
        <v>2</v>
      </c>
      <c r="G22" s="281">
        <f t="shared" ca="1" si="10"/>
        <v>1</v>
      </c>
      <c r="H22" s="207"/>
      <c r="I22" s="640" t="str">
        <f>CHAR(ROW()-$B$14+96)&amp;".     "&amp;IFERROR(VLOOKUP("SECTION_"&amp;(ROW()-$B$14)&amp;"_TOC_LABEL",A:B,2,FALSE),"")</f>
        <v>i.     Project Sponsor Profile</v>
      </c>
      <c r="J22" s="641"/>
      <c r="K22" s="641"/>
      <c r="L22" s="641"/>
      <c r="M22" s="641"/>
      <c r="N22" s="332" t="str">
        <f ca="1">IF(IFERROR(VLOOKUP("SECTION_"&amp;(ROW()-$B$14)&amp;"_WARNING_FLAG",A:B,2,FALSE),FALSE),1,"")</f>
        <v/>
      </c>
      <c r="O22" s="170" t="str">
        <f ca="1">IFERROR(VLOOKUP("SECTION_"&amp;(ROW()-$B$14)&amp;"_STATUS_TEXT",A:B,2,FALSE),"")</f>
        <v>Not Started</v>
      </c>
      <c r="P22" s="416" t="str">
        <f ca="1">IFERROR(VLOOKUP("SECTION_"&amp;(ROW()-$B$14)&amp;"_STATUS_CODE",A:B,2,FALSE),"")</f>
        <v/>
      </c>
      <c r="Q22" s="454" t="str">
        <f t="shared" si="4"/>
        <v>j.     Project Readiness</v>
      </c>
      <c r="R22" s="637"/>
      <c r="S22" s="637"/>
      <c r="T22" s="637"/>
      <c r="U22" s="637"/>
      <c r="V22" s="402" t="str">
        <f t="shared" si="5"/>
        <v/>
      </c>
      <c r="W22" s="171" t="str">
        <f t="shared" ca="1" si="6"/>
        <v>Not Started</v>
      </c>
      <c r="X22" s="402" t="str">
        <f t="shared" ca="1" si="7"/>
        <v/>
      </c>
      <c r="Y22" s="207"/>
      <c r="AA22" s="410">
        <v>19</v>
      </c>
      <c r="AB22" s="410" t="str">
        <f t="shared" si="9"/>
        <v>j.     Project Readiness</v>
      </c>
      <c r="AC22" s="412" t="str">
        <f t="shared" si="8"/>
        <v>Project Readiness</v>
      </c>
    </row>
    <row r="23" spans="1:29" s="142" customFormat="1" ht="21.95" customHeight="1" x14ac:dyDescent="0.25">
      <c r="A23" s="273" t="s">
        <v>180</v>
      </c>
      <c r="B23" s="289" t="str">
        <f>IF(AND(I34=0,K34=0),"",IF(I34&lt;&gt;0,TEXT(I34,"00000"),"")&amp;IF(K34&lt;&gt;0,"-"&amp;TEXT(K34,"0000"),""))</f>
        <v/>
      </c>
      <c r="C23" s="281">
        <f ca="1">VLOOKUP(A23,DB_TBL_DATA_FIELDS[[FIELD_ID]:[PCT_CALC_FIELD_STATUS_CODE]],22,FALSE)</f>
        <v>1</v>
      </c>
      <c r="D23" s="281" t="str">
        <f>IF(VLOOKUP(A23,DB_TBL_DATA_FIELDS[[FIELD_ID]:[ERROR_MESSAGE]],23,FALSE)&lt;&gt;0,VLOOKUP(A23,DB_TBL_DATA_FIELDS[[FIELD_ID]:[ERROR_MESSAGE]],23,FALSE),"")</f>
        <v/>
      </c>
      <c r="E23" s="281">
        <f>VLOOKUP(A23,DB_TBL_DATA_FIELDS[[#All],[FIELD_ID]:[RANGE_VALIDATION_MAX]],18,FALSE)</f>
        <v>5</v>
      </c>
      <c r="F23" s="281">
        <f>VLOOKUP(A23,DB_TBL_DATA_FIELDS[[#All],[FIELD_ID]:[RANGE_VALIDATION_MAX]],19,FALSE)</f>
        <v>10</v>
      </c>
      <c r="G23" s="281">
        <f t="shared" ca="1" si="10"/>
        <v>1</v>
      </c>
      <c r="H23" s="207"/>
      <c r="I23" s="640" t="str">
        <f>CHAR(ROW()-$B$14+96)&amp;".     "&amp;IFERROR(VLOOKUP("SECTION_"&amp;(ROW()-$B$14)&amp;"_TOC_LABEL",A:B,2,FALSE),"")</f>
        <v>j.     Development Partner(s)</v>
      </c>
      <c r="J23" s="640"/>
      <c r="K23" s="640"/>
      <c r="L23" s="640"/>
      <c r="M23" s="640"/>
      <c r="N23" s="332" t="str">
        <f>IF(IFERROR(VLOOKUP("SECTION_"&amp;(ROW()-$B$14)&amp;"_WARNING_FLAG",A:B,2,FALSE),FALSE),1,"")</f>
        <v/>
      </c>
      <c r="O23" s="170" t="str">
        <f ca="1">IFERROR(VLOOKUP("SECTION_"&amp;(ROW()-$B$14)&amp;"_STATUS_TEXT",A:B,2,FALSE),"")</f>
        <v>Optional</v>
      </c>
      <c r="P23" s="416">
        <f ca="1">IFERROR(VLOOKUP("SECTION_"&amp;(ROW()-$B$14)&amp;"_STATUS_CODE",A:B,2,FALSE),"")</f>
        <v>2</v>
      </c>
      <c r="Q23" s="454" t="str">
        <f t="shared" si="4"/>
        <v>k.     In-District Projects</v>
      </c>
      <c r="R23" s="637"/>
      <c r="S23" s="637"/>
      <c r="T23" s="637"/>
      <c r="U23" s="637"/>
      <c r="V23" s="402" t="str">
        <f t="shared" si="5"/>
        <v/>
      </c>
      <c r="W23" s="171" t="str">
        <f t="shared" ca="1" si="6"/>
        <v>Not Started</v>
      </c>
      <c r="X23" s="402" t="str">
        <f t="shared" ca="1" si="7"/>
        <v/>
      </c>
      <c r="Y23" s="207"/>
      <c r="AA23" s="410">
        <v>18</v>
      </c>
      <c r="AB23" s="410" t="str">
        <f t="shared" si="9"/>
        <v>k.     In-District Projects</v>
      </c>
      <c r="AC23" s="412" t="str">
        <f t="shared" si="8"/>
        <v>In-District Projects</v>
      </c>
    </row>
    <row r="24" spans="1:29" s="142" customFormat="1" ht="21.95" customHeight="1" x14ac:dyDescent="0.25">
      <c r="A24" s="273" t="s">
        <v>182</v>
      </c>
      <c r="B24" s="289" t="str">
        <f>IF(AND(M34=0,O34=0),"",IF(M34&lt;&gt;0,TEXT(M34,"0000"),"")&amp;IF(O34&lt;&gt;"","."&amp;TEXT(O34,"00"),""))</f>
        <v/>
      </c>
      <c r="C24" s="281">
        <f ca="1">VLOOKUP(A24,DB_TBL_DATA_FIELDS[[FIELD_ID]:[PCT_CALC_FIELD_STATUS_CODE]],22,FALSE)</f>
        <v>1</v>
      </c>
      <c r="D24" s="281" t="str">
        <f>IF(VLOOKUP(A24,DB_TBL_DATA_FIELDS[[FIELD_ID]:[ERROR_MESSAGE]],23,FALSE)&lt;&gt;0,VLOOKUP(A24,DB_TBL_DATA_FIELDS[[FIELD_ID]:[ERROR_MESSAGE]],23,FALSE),"")</f>
        <v/>
      </c>
      <c r="E24" s="281">
        <f>VLOOKUP(A24,DB_TBL_DATA_FIELDS[[#All],[FIELD_ID]:[RANGE_VALIDATION_MAX]],18,FALSE)</f>
        <v>7</v>
      </c>
      <c r="F24" s="281">
        <f>VLOOKUP(A24,DB_TBL_DATA_FIELDS[[#All],[FIELD_ID]:[RANGE_VALIDATION_MAX]],19,FALSE)</f>
        <v>8</v>
      </c>
      <c r="G24" s="281">
        <f t="shared" ca="1" si="10"/>
        <v>1</v>
      </c>
      <c r="H24" s="207"/>
      <c r="I24" s="421"/>
      <c r="J24" s="421"/>
      <c r="K24" s="421"/>
      <c r="L24" s="421"/>
      <c r="M24" s="421"/>
      <c r="N24" s="420"/>
      <c r="O24" s="170"/>
      <c r="P24" s="416"/>
      <c r="Q24" s="454" t="str">
        <f t="shared" ref="Q24" si="11">AB24</f>
        <v>l.     Subsidy per Unit</v>
      </c>
      <c r="R24" s="637"/>
      <c r="S24" s="637"/>
      <c r="T24" s="637"/>
      <c r="U24" s="637"/>
      <c r="V24" s="420" t="str">
        <f t="shared" si="5"/>
        <v/>
      </c>
      <c r="W24" s="171" t="str">
        <f t="shared" ca="1" si="6"/>
        <v>Not Started</v>
      </c>
      <c r="X24" s="420" t="str">
        <f t="shared" ca="1" si="7"/>
        <v/>
      </c>
      <c r="Y24" s="207"/>
      <c r="AA24" s="410">
        <v>22</v>
      </c>
      <c r="AB24" s="410" t="str">
        <f t="shared" si="9"/>
        <v>l.     Subsidy per Unit</v>
      </c>
      <c r="AC24" s="412" t="str">
        <f t="shared" si="8"/>
        <v>Subsidy per Unit</v>
      </c>
    </row>
    <row r="25" spans="1:29" s="142" customFormat="1" ht="21.95" customHeight="1" x14ac:dyDescent="0.25">
      <c r="A25" s="273" t="s">
        <v>181</v>
      </c>
      <c r="B25" s="288" t="str">
        <f>IF(Q34=0,"",Q34)</f>
        <v/>
      </c>
      <c r="C25" s="281">
        <f ca="1">VLOOKUP(A25,DB_TBL_DATA_FIELDS[[FIELD_ID]:[PCT_CALC_FIELD_STATUS_CODE]],22,FALSE)</f>
        <v>1</v>
      </c>
      <c r="D25" s="281" t="str">
        <f>IF(VLOOKUP(A25,DB_TBL_DATA_FIELDS[[FIELD_ID]:[ERROR_MESSAGE]],23,FALSE)&lt;&gt;0,VLOOKUP(A25,DB_TBL_DATA_FIELDS[[FIELD_ID]:[ERROR_MESSAGE]],23,FALSE),"")</f>
        <v/>
      </c>
      <c r="E25" s="281">
        <f>VLOOKUP(A25,DB_TBL_DATA_FIELDS[[#All],[FIELD_ID]:[RANGE_VALIDATION_MAX]],18,FALSE)</f>
        <v>0</v>
      </c>
      <c r="F25" s="281">
        <f>VLOOKUP(A25,DB_TBL_DATA_FIELDS[[#All],[FIELD_ID]:[RANGE_VALIDATION_MAX]],19,FALSE)</f>
        <v>38</v>
      </c>
      <c r="G25" s="281">
        <f t="shared" ca="1" si="10"/>
        <v>1</v>
      </c>
      <c r="H25" s="207"/>
      <c r="I25" s="421"/>
      <c r="J25" s="421"/>
      <c r="K25" s="421"/>
      <c r="L25" s="421"/>
      <c r="M25" s="421"/>
      <c r="N25" s="420"/>
      <c r="O25" s="170"/>
      <c r="P25" s="416"/>
      <c r="Q25" s="453" t="str">
        <f t="shared" ref="Q25" ca="1" si="12">AB25</f>
        <v>m.   Score Summary (Estimated Final Score: 0.00)</v>
      </c>
      <c r="R25" s="454"/>
      <c r="S25" s="454"/>
      <c r="T25" s="454"/>
      <c r="U25" s="454"/>
      <c r="V25" s="454"/>
      <c r="W25" s="454"/>
      <c r="X25" s="454"/>
      <c r="Y25" s="207"/>
      <c r="AA25" s="410">
        <v>23</v>
      </c>
      <c r="AB25" s="410" t="str">
        <f ca="1">IF(AC25&lt;&gt;"",CHAR(ROW()-$B$14+1+96)&amp;".   "&amp;AC25,"")</f>
        <v>m.   Score Summary (Estimated Final Score: 0.00)</v>
      </c>
      <c r="AC25" s="412" t="str">
        <f t="shared" ca="1" si="8"/>
        <v>Score Summary (Estimated Final Score: 0.00)</v>
      </c>
    </row>
    <row r="26" spans="1:29" s="142" customFormat="1" ht="21.95" customHeight="1" x14ac:dyDescent="0.25">
      <c r="A26" s="273" t="s">
        <v>3507</v>
      </c>
      <c r="B26" s="288" t="str">
        <f>IF(I36=0,"",I36)</f>
        <v/>
      </c>
      <c r="C26" s="281">
        <f ca="1">VLOOKUP(A26,DB_TBL_DATA_FIELDS[[FIELD_ID]:[PCT_CALC_FIELD_STATUS_CODE]],22,FALSE)</f>
        <v>-1</v>
      </c>
      <c r="D26" s="281" t="str">
        <f>IF(VLOOKUP(A26,DB_TBL_DATA_FIELDS[[FIELD_ID]:[ERROR_MESSAGE]],23,FALSE)&lt;&gt;0,VLOOKUP(A26,DB_TBL_DATA_FIELDS[[FIELD_ID]:[ERROR_MESSAGE]],23,FALSE),"")</f>
        <v/>
      </c>
      <c r="E26" s="281">
        <f>VLOOKUP(A26,DB_TBL_DATA_FIELDS[[#All],[FIELD_ID]:[RANGE_VALIDATION_MAX]],18,FALSE)</f>
        <v>0</v>
      </c>
      <c r="F26" s="281">
        <f>VLOOKUP(A26,DB_TBL_DATA_FIELDS[[#All],[FIELD_ID]:[RANGE_VALIDATION_MAX]],19,FALSE)</f>
        <v>32767</v>
      </c>
      <c r="G26" s="281" t="str">
        <f t="shared" ref="G26" ca="1" si="13">IF(C26&lt;0,"",C26)</f>
        <v/>
      </c>
      <c r="H26" s="207"/>
      <c r="I26" s="207"/>
      <c r="J26" s="153"/>
      <c r="K26" s="207"/>
      <c r="L26" s="153"/>
      <c r="M26" s="207"/>
      <c r="N26" s="153"/>
      <c r="O26" s="207"/>
      <c r="P26" s="153"/>
      <c r="Q26" s="207"/>
      <c r="R26" s="153"/>
      <c r="S26" s="207"/>
      <c r="T26" s="153"/>
      <c r="U26" s="207"/>
      <c r="V26" s="153"/>
      <c r="W26" s="207"/>
      <c r="X26" s="153"/>
      <c r="Y26" s="207"/>
    </row>
    <row r="27" spans="1:29" s="142" customFormat="1" ht="21.95" customHeight="1" thickBot="1" x14ac:dyDescent="0.3">
      <c r="A27" s="290" t="s">
        <v>159</v>
      </c>
      <c r="B27" s="282" t="str">
        <f>"C"&amp;MATCH(LEFT(A27,LEN(A27)-LEN("_RANGE")),A:A,0)+1&amp;":C"&amp;(ROW()-1)</f>
        <v>C19:C26</v>
      </c>
      <c r="C27" s="281"/>
      <c r="D27" s="281"/>
      <c r="E27" s="281"/>
      <c r="F27" s="281"/>
      <c r="G27" s="281"/>
      <c r="H27" s="208"/>
      <c r="I27" s="424" t="str">
        <f>B18</f>
        <v>Project Location</v>
      </c>
      <c r="J27" s="269"/>
      <c r="K27" s="269"/>
      <c r="L27" s="269"/>
      <c r="M27" s="269"/>
      <c r="N27" s="269"/>
      <c r="O27" s="269"/>
      <c r="P27" s="269"/>
      <c r="Q27" s="269"/>
      <c r="R27" s="269"/>
      <c r="S27" s="269"/>
      <c r="T27" s="269"/>
      <c r="U27" s="269"/>
      <c r="V27" s="269"/>
      <c r="W27" s="269"/>
      <c r="X27" s="167" t="str">
        <f ca="1">"Status: "&amp;$B$32</f>
        <v>Status: Not Started</v>
      </c>
      <c r="Y27" s="208"/>
    </row>
    <row r="28" spans="1:29" s="142" customFormat="1" ht="21.95" customHeight="1" x14ac:dyDescent="0.25">
      <c r="A28" s="290" t="s">
        <v>153</v>
      </c>
      <c r="B28" s="282">
        <f ca="1">COUNTIF(INDIRECT($B27),2)</f>
        <v>0</v>
      </c>
      <c r="C28" s="281"/>
      <c r="D28" s="281"/>
      <c r="E28" s="281"/>
      <c r="F28" s="281"/>
      <c r="G28" s="281"/>
      <c r="H28" s="208"/>
      <c r="I28" s="208"/>
      <c r="J28" s="208"/>
      <c r="K28" s="208"/>
      <c r="L28" s="208"/>
      <c r="M28" s="208"/>
      <c r="N28" s="208"/>
      <c r="O28" s="208"/>
      <c r="P28" s="208"/>
      <c r="Q28" s="208"/>
      <c r="R28" s="208"/>
      <c r="S28" s="208"/>
      <c r="T28" s="208"/>
      <c r="U28" s="208"/>
      <c r="V28" s="208"/>
      <c r="W28" s="208"/>
      <c r="X28" s="208"/>
      <c r="Y28" s="208"/>
    </row>
    <row r="29" spans="1:29" s="142" customFormat="1" ht="21.95" customHeight="1" x14ac:dyDescent="0.25">
      <c r="A29" s="290" t="s">
        <v>154</v>
      </c>
      <c r="B29" s="282">
        <f ca="1">COUNTIF(INDIRECT($B27),0)+COUNTIF(INDIRECT($B27),1)+COUNTIF(INDIRECT($B27),2)</f>
        <v>7</v>
      </c>
      <c r="C29" s="281"/>
      <c r="D29" s="281"/>
      <c r="E29" s="281"/>
      <c r="F29" s="281"/>
      <c r="G29" s="281"/>
      <c r="H29" s="204"/>
      <c r="I29" s="204" t="s">
        <v>3374</v>
      </c>
      <c r="J29" s="140"/>
      <c r="K29" s="204"/>
      <c r="L29" s="140"/>
      <c r="M29" s="204"/>
      <c r="N29" s="140"/>
      <c r="O29" s="204"/>
      <c r="P29" s="140"/>
      <c r="Q29" s="204"/>
      <c r="R29" s="140"/>
      <c r="S29" s="204"/>
      <c r="T29" s="140"/>
      <c r="U29" s="204"/>
      <c r="V29" s="204"/>
      <c r="W29" s="209"/>
      <c r="X29" s="210" t="str">
        <f>IF(TRUE,"",IF(F19-LEN(I30)&lt;0,"Character Allowance Exceeded",MAX(F19-LEN(I30),0)&amp;" More Characters Allowed"))</f>
        <v/>
      </c>
      <c r="Y29" s="204"/>
    </row>
    <row r="30" spans="1:29" s="142" customFormat="1" ht="21.95" customHeight="1" x14ac:dyDescent="0.2">
      <c r="A30" s="290" t="s">
        <v>155</v>
      </c>
      <c r="B30" s="282">
        <f ca="1">COUNTIF(INDIRECT($B27),0)</f>
        <v>0</v>
      </c>
      <c r="C30" s="281" t="s">
        <v>2607</v>
      </c>
      <c r="D30" s="281"/>
      <c r="E30" s="281"/>
      <c r="F30" s="281"/>
      <c r="G30" s="281"/>
      <c r="H30" s="204"/>
      <c r="I30" s="466"/>
      <c r="J30" s="647"/>
      <c r="K30" s="647"/>
      <c r="L30" s="647"/>
      <c r="M30" s="647"/>
      <c r="N30" s="647"/>
      <c r="O30" s="647"/>
      <c r="P30" s="647"/>
      <c r="Q30" s="647"/>
      <c r="R30" s="647"/>
      <c r="S30" s="647"/>
      <c r="T30" s="647"/>
      <c r="U30" s="647"/>
      <c r="V30" s="647"/>
      <c r="W30" s="648"/>
      <c r="X30" s="165">
        <f ca="1">G19</f>
        <v>1</v>
      </c>
      <c r="Y30" s="204"/>
    </row>
    <row r="31" spans="1:29" s="142" customFormat="1" ht="21.95" customHeight="1" x14ac:dyDescent="0.25">
      <c r="A31" s="290" t="s">
        <v>156</v>
      </c>
      <c r="B31" s="291">
        <f ca="1">IFERROR(B28/B29,1.01)</f>
        <v>0</v>
      </c>
      <c r="C31" s="281"/>
      <c r="D31" s="281"/>
      <c r="E31" s="281"/>
      <c r="F31" s="281"/>
      <c r="G31" s="281"/>
      <c r="H31" s="204"/>
      <c r="I31" s="204" t="s">
        <v>220</v>
      </c>
      <c r="J31" s="204"/>
      <c r="K31" s="204"/>
      <c r="L31" s="204"/>
      <c r="M31" s="204"/>
      <c r="N31" s="204"/>
      <c r="O31" s="204"/>
      <c r="P31" s="204"/>
      <c r="Q31" s="204" t="s">
        <v>84</v>
      </c>
      <c r="R31" s="204"/>
      <c r="S31" s="204"/>
      <c r="T31" s="204"/>
      <c r="U31" s="204"/>
      <c r="V31" s="204"/>
      <c r="W31" s="204" t="s">
        <v>85</v>
      </c>
      <c r="X31" s="211"/>
      <c r="Y31" s="204"/>
    </row>
    <row r="32" spans="1:29" s="142" customFormat="1" ht="21.95" customHeight="1" x14ac:dyDescent="0.25">
      <c r="A32" s="290" t="s">
        <v>157</v>
      </c>
      <c r="B32" s="292" t="str">
        <f ca="1">IF(B30&gt;0,"Data Error(s)",IF(B31=0,"Not Started",IF(B31&lt;1,ROUNDUP(B31*100,0)&amp;"% Done",IF(B31&gt;1,"Optional","Complete"))))</f>
        <v>Not Started</v>
      </c>
      <c r="C32" s="281"/>
      <c r="D32" s="281"/>
      <c r="E32" s="281"/>
      <c r="F32" s="281"/>
      <c r="G32" s="281"/>
      <c r="H32" s="204"/>
      <c r="I32" s="466"/>
      <c r="J32" s="467"/>
      <c r="K32" s="467"/>
      <c r="L32" s="467"/>
      <c r="M32" s="467"/>
      <c r="N32" s="467"/>
      <c r="O32" s="468"/>
      <c r="P32" s="165">
        <f ca="1">G20</f>
        <v>1</v>
      </c>
      <c r="Q32" s="466"/>
      <c r="R32" s="467"/>
      <c r="S32" s="467"/>
      <c r="T32" s="467"/>
      <c r="U32" s="468"/>
      <c r="V32" s="165">
        <f ca="1">G21</f>
        <v>1</v>
      </c>
      <c r="W32" s="316"/>
      <c r="X32" s="165">
        <f ca="1">G22</f>
        <v>1</v>
      </c>
      <c r="Y32" s="204"/>
    </row>
    <row r="33" spans="1:25" s="142" customFormat="1" ht="21.95" customHeight="1" x14ac:dyDescent="0.25">
      <c r="A33" s="290" t="s">
        <v>158</v>
      </c>
      <c r="B33" s="282" t="str">
        <f ca="1">IF(B30&gt;0,0,IF(B31&lt;1,"",2))</f>
        <v/>
      </c>
      <c r="C33" s="281"/>
      <c r="D33" s="281"/>
      <c r="E33" s="281"/>
      <c r="F33" s="281"/>
      <c r="G33" s="281"/>
      <c r="H33" s="204"/>
      <c r="I33" s="204" t="s">
        <v>3419</v>
      </c>
      <c r="J33" s="140"/>
      <c r="K33" s="204"/>
      <c r="L33" s="140"/>
      <c r="M33" s="204" t="s">
        <v>2384</v>
      </c>
      <c r="N33" s="140"/>
      <c r="O33" s="204"/>
      <c r="P33" s="140"/>
      <c r="Q33" s="204" t="s">
        <v>145</v>
      </c>
      <c r="R33" s="140"/>
      <c r="S33" s="204"/>
      <c r="T33" s="140"/>
      <c r="U33" s="204"/>
      <c r="V33" s="140"/>
      <c r="W33" s="204"/>
      <c r="X33" s="204"/>
      <c r="Y33" s="204"/>
    </row>
    <row r="34" spans="1:25" s="142" customFormat="1" ht="21.95" customHeight="1" x14ac:dyDescent="0.25">
      <c r="A34" s="290" t="s">
        <v>161</v>
      </c>
      <c r="B34" s="293" t="s">
        <v>149</v>
      </c>
      <c r="C34" s="281"/>
      <c r="D34" s="281"/>
      <c r="E34" s="281"/>
      <c r="F34" s="281"/>
      <c r="G34" s="281"/>
      <c r="H34" s="204"/>
      <c r="I34" s="213"/>
      <c r="J34" s="271" t="s">
        <v>86</v>
      </c>
      <c r="K34" s="214"/>
      <c r="L34" s="165">
        <f ca="1">G23</f>
        <v>1</v>
      </c>
      <c r="M34" s="334"/>
      <c r="N34" s="272" t="s">
        <v>146</v>
      </c>
      <c r="O34" s="335"/>
      <c r="P34" s="165">
        <f ca="1">G24</f>
        <v>1</v>
      </c>
      <c r="Q34" s="466"/>
      <c r="R34" s="467"/>
      <c r="S34" s="467"/>
      <c r="T34" s="467"/>
      <c r="U34" s="467"/>
      <c r="V34" s="467"/>
      <c r="W34" s="468"/>
      <c r="X34" s="165">
        <f ca="1">G25</f>
        <v>1</v>
      </c>
      <c r="Y34" s="204"/>
    </row>
    <row r="35" spans="1:25" s="142" customFormat="1" ht="21.95" customHeight="1" x14ac:dyDescent="0.25">
      <c r="A35" s="294" t="s">
        <v>2342</v>
      </c>
      <c r="B35" s="282">
        <v>0</v>
      </c>
      <c r="C35" s="281" t="s">
        <v>2462</v>
      </c>
      <c r="D35" s="281"/>
      <c r="E35" s="281"/>
      <c r="F35" s="281"/>
      <c r="G35" s="281"/>
      <c r="H35" s="204"/>
      <c r="I35" s="204" t="s">
        <v>3510</v>
      </c>
      <c r="J35" s="204"/>
      <c r="K35" s="204"/>
      <c r="L35" s="204"/>
      <c r="M35" s="204"/>
      <c r="N35" s="204"/>
      <c r="O35" s="208"/>
      <c r="P35" s="153"/>
      <c r="Q35" s="207"/>
      <c r="R35" s="153"/>
      <c r="S35" s="207"/>
      <c r="T35" s="153"/>
      <c r="U35" s="207"/>
      <c r="V35" s="153"/>
      <c r="W35" s="207"/>
      <c r="X35" s="153"/>
      <c r="Y35" s="204"/>
    </row>
    <row r="36" spans="1:25" s="142" customFormat="1" ht="21.95" customHeight="1" x14ac:dyDescent="0.2">
      <c r="A36" s="294" t="s">
        <v>2343</v>
      </c>
      <c r="B36" s="282" t="b">
        <f>(B35&gt;0)</f>
        <v>0</v>
      </c>
      <c r="C36" s="281"/>
      <c r="D36" s="281"/>
      <c r="E36" s="281"/>
      <c r="F36" s="281"/>
      <c r="G36" s="281"/>
      <c r="H36" s="204"/>
      <c r="I36" s="466"/>
      <c r="J36" s="647"/>
      <c r="K36" s="647"/>
      <c r="L36" s="647"/>
      <c r="M36" s="647"/>
      <c r="N36" s="647"/>
      <c r="O36" s="647"/>
      <c r="P36" s="647"/>
      <c r="Q36" s="647"/>
      <c r="R36" s="647"/>
      <c r="S36" s="647"/>
      <c r="T36" s="647"/>
      <c r="U36" s="647"/>
      <c r="V36" s="647"/>
      <c r="W36" s="648"/>
      <c r="X36" s="153" t="str">
        <f ca="1">G26</f>
        <v/>
      </c>
      <c r="Y36" s="204"/>
    </row>
    <row r="37" spans="1:25" s="142" customFormat="1" ht="21.95" customHeight="1" x14ac:dyDescent="0.2">
      <c r="A37" s="285" t="s">
        <v>162</v>
      </c>
      <c r="B37" s="305" t="s">
        <v>2404</v>
      </c>
      <c r="C37" s="286"/>
      <c r="D37" s="287"/>
      <c r="E37" s="287"/>
      <c r="F37" s="287"/>
      <c r="G37" s="172" t="str">
        <f>B54</f>
        <v>Member Information</v>
      </c>
      <c r="H37" s="204"/>
      <c r="I37" s="174" t="s">
        <v>3420</v>
      </c>
      <c r="J37" s="204"/>
      <c r="K37" s="204"/>
      <c r="L37" s="204"/>
      <c r="M37" s="204"/>
      <c r="N37" s="204"/>
      <c r="O37" s="204"/>
      <c r="P37" s="204"/>
      <c r="Q37" s="204"/>
      <c r="R37" s="204"/>
      <c r="S37" s="204"/>
      <c r="T37" s="204"/>
      <c r="U37" s="204"/>
      <c r="V37" s="204"/>
      <c r="W37" s="204"/>
      <c r="X37" s="204"/>
      <c r="Y37" s="204"/>
    </row>
    <row r="38" spans="1:25" s="142" customFormat="1" ht="21.95" customHeight="1" x14ac:dyDescent="0.25">
      <c r="A38" s="273" t="s">
        <v>2395</v>
      </c>
      <c r="B38" s="288" t="str">
        <f>IF(I42=0,"",I42)</f>
        <v/>
      </c>
      <c r="C38" s="281">
        <f ca="1">VLOOKUP(A38,DB_TBL_DATA_FIELDS[[FIELD_ID]:[PCT_CALC_FIELD_STATUS_CODE]],22,FALSE)</f>
        <v>1</v>
      </c>
      <c r="D38" s="281" t="str">
        <f>IF(VLOOKUP(A38,DB_TBL_DATA_FIELDS[[FIELD_ID]:[ERROR_MESSAGE]],23,FALSE)&lt;&gt;0,VLOOKUP(A38,DB_TBL_DATA_FIELDS[[FIELD_ID]:[ERROR_MESSAGE]],23,FALSE),"")</f>
        <v/>
      </c>
      <c r="E38" s="281">
        <f>VLOOKUP(A38,DB_TBL_DATA_FIELDS[[#All],[FIELD_ID]:[RANGE_VALIDATION_MAX]],18,FALSE)</f>
        <v>0</v>
      </c>
      <c r="F38" s="281">
        <f>VLOOKUP(A38,DB_TBL_DATA_FIELDS[[#All],[FIELD_ID]:[RANGE_VALIDATION_MAX]],19,FALSE)</f>
        <v>150</v>
      </c>
      <c r="G38" s="281">
        <f t="shared" ref="G38" ca="1" si="14">IF(C38&lt;0,"",C38)</f>
        <v>1</v>
      </c>
      <c r="H38" s="207"/>
      <c r="I38" s="208"/>
      <c r="J38" s="204"/>
      <c r="K38" s="204"/>
      <c r="L38" s="204"/>
      <c r="M38" s="204"/>
      <c r="N38" s="204"/>
      <c r="O38" s="208"/>
      <c r="P38" s="153"/>
      <c r="Q38" s="207"/>
      <c r="R38" s="153"/>
      <c r="S38" s="207"/>
      <c r="T38" s="153"/>
      <c r="U38" s="207"/>
      <c r="V38" s="153"/>
      <c r="W38" s="207"/>
      <c r="X38" s="153"/>
      <c r="Y38" s="207"/>
    </row>
    <row r="39" spans="1:25" s="142" customFormat="1" ht="21.95" customHeight="1" thickBot="1" x14ac:dyDescent="0.3">
      <c r="A39" s="273" t="s">
        <v>2396</v>
      </c>
      <c r="B39" s="288" t="str">
        <f>IF(I44=0,"",I44)</f>
        <v/>
      </c>
      <c r="C39" s="281">
        <f ca="1">VLOOKUP(A39,DB_TBL_DATA_FIELDS[[FIELD_ID]:[PCT_CALC_FIELD_STATUS_CODE]],22,FALSE)</f>
        <v>1</v>
      </c>
      <c r="D39" s="281" t="str">
        <f>IF(VLOOKUP(A39,DB_TBL_DATA_FIELDS[[FIELD_ID]:[ERROR_MESSAGE]],23,FALSE)&lt;&gt;0,VLOOKUP(A39,DB_TBL_DATA_FIELDS[[FIELD_ID]:[ERROR_MESSAGE]],23,FALSE),"")</f>
        <v/>
      </c>
      <c r="E39" s="281">
        <f>VLOOKUP(A39,DB_TBL_DATA_FIELDS[[#All],[FIELD_ID]:[RANGE_VALIDATION_MAX]],18,FALSE)</f>
        <v>0</v>
      </c>
      <c r="F39" s="281">
        <f>VLOOKUP(A39,DB_TBL_DATA_FIELDS[[#All],[FIELD_ID]:[RANGE_VALIDATION_MAX]],19,FALSE)</f>
        <v>150</v>
      </c>
      <c r="G39" s="281">
        <f t="shared" ref="G39:G44" ca="1" si="15">IF(C39&lt;0,"",C39)</f>
        <v>1</v>
      </c>
      <c r="H39" s="207"/>
      <c r="I39" s="424" t="str">
        <f>B37</f>
        <v>Member Information</v>
      </c>
      <c r="J39" s="269"/>
      <c r="K39" s="269"/>
      <c r="L39" s="269"/>
      <c r="M39" s="269"/>
      <c r="N39" s="269"/>
      <c r="O39" s="269"/>
      <c r="P39" s="269"/>
      <c r="Q39" s="269"/>
      <c r="R39" s="269"/>
      <c r="S39" s="269"/>
      <c r="T39" s="269"/>
      <c r="U39" s="269"/>
      <c r="V39" s="269"/>
      <c r="W39" s="269"/>
      <c r="X39" s="167" t="str">
        <f ca="1">"Status: "&amp;$B$52</f>
        <v>Status: Not Started</v>
      </c>
      <c r="Y39" s="207"/>
    </row>
    <row r="40" spans="1:25" s="142" customFormat="1" ht="21.95" customHeight="1" x14ac:dyDescent="0.25">
      <c r="A40" s="273" t="s">
        <v>2397</v>
      </c>
      <c r="B40" s="288" t="str">
        <f>IF(Q44=0,"",Q44)</f>
        <v/>
      </c>
      <c r="C40" s="281">
        <f ca="1">VLOOKUP(A40,DB_TBL_DATA_FIELDS[[FIELD_ID]:[PCT_CALC_FIELD_STATUS_CODE]],22,FALSE)</f>
        <v>1</v>
      </c>
      <c r="D40" s="281" t="str">
        <f>IF(VLOOKUP(A40,DB_TBL_DATA_FIELDS[[FIELD_ID]:[ERROR_MESSAGE]],23,FALSE)&lt;&gt;0,VLOOKUP(A40,DB_TBL_DATA_FIELDS[[FIELD_ID]:[ERROR_MESSAGE]],23,FALSE),"")</f>
        <v/>
      </c>
      <c r="E40" s="281">
        <f>VLOOKUP(A40,DB_TBL_DATA_FIELDS[[#All],[FIELD_ID]:[RANGE_VALIDATION_MAX]],18,FALSE)</f>
        <v>0</v>
      </c>
      <c r="F40" s="281">
        <f>VLOOKUP(A40,DB_TBL_DATA_FIELDS[[#All],[FIELD_ID]:[RANGE_VALIDATION_MAX]],19,FALSE)</f>
        <v>150</v>
      </c>
      <c r="G40" s="281">
        <f t="shared" ca="1" si="15"/>
        <v>1</v>
      </c>
      <c r="H40" s="207"/>
      <c r="I40" s="207"/>
      <c r="J40" s="153"/>
      <c r="K40" s="207"/>
      <c r="L40" s="153"/>
      <c r="M40" s="207"/>
      <c r="N40" s="153"/>
      <c r="O40" s="207"/>
      <c r="P40" s="153"/>
      <c r="Q40" s="207"/>
      <c r="R40" s="153"/>
      <c r="S40" s="207"/>
      <c r="T40" s="153"/>
      <c r="U40" s="207"/>
      <c r="V40" s="153"/>
      <c r="W40" s="207"/>
      <c r="X40" s="153"/>
      <c r="Y40" s="207"/>
    </row>
    <row r="41" spans="1:25" s="142" customFormat="1" ht="21.95" customHeight="1" x14ac:dyDescent="0.25">
      <c r="A41" s="273" t="s">
        <v>2398</v>
      </c>
      <c r="B41" s="288" t="str">
        <f>IF(I46=0,"",I46)</f>
        <v/>
      </c>
      <c r="C41" s="281">
        <f ca="1">VLOOKUP(A41,DB_TBL_DATA_FIELDS[[FIELD_ID]:[PCT_CALC_FIELD_STATUS_CODE]],22,FALSE)</f>
        <v>1</v>
      </c>
      <c r="D41" s="281" t="str">
        <f>IF(VLOOKUP(A41,DB_TBL_DATA_FIELDS[[FIELD_ID]:[ERROR_MESSAGE]],23,FALSE)&lt;&gt;0,VLOOKUP(A41,DB_TBL_DATA_FIELDS[[FIELD_ID]:[ERROR_MESSAGE]],23,FALSE),"")</f>
        <v/>
      </c>
      <c r="E41" s="281">
        <f>VLOOKUP(A41,DB_TBL_DATA_FIELDS[[#All],[FIELD_ID]:[RANGE_VALIDATION_MAX]],18,FALSE)</f>
        <v>0</v>
      </c>
      <c r="F41" s="281">
        <f>VLOOKUP(A41,DB_TBL_DATA_FIELDS[[#All],[FIELD_ID]:[RANGE_VALIDATION_MAX]],19,FALSE)</f>
        <v>60</v>
      </c>
      <c r="G41" s="281">
        <f t="shared" ca="1" si="15"/>
        <v>1</v>
      </c>
      <c r="H41" s="207"/>
      <c r="I41" s="204" t="s">
        <v>3375</v>
      </c>
      <c r="J41" s="153"/>
      <c r="K41" s="207"/>
      <c r="L41" s="153"/>
      <c r="M41" s="207"/>
      <c r="N41" s="153"/>
      <c r="O41" s="207"/>
      <c r="P41" s="153"/>
      <c r="Q41" s="207"/>
      <c r="R41" s="153"/>
      <c r="S41" s="207"/>
      <c r="T41" s="153"/>
      <c r="U41" s="204"/>
      <c r="V41" s="204"/>
      <c r="W41" s="204"/>
      <c r="X41" s="204"/>
      <c r="Y41" s="207"/>
    </row>
    <row r="42" spans="1:25" s="142" customFormat="1" ht="21.95" customHeight="1" x14ac:dyDescent="0.25">
      <c r="A42" s="273" t="s">
        <v>2399</v>
      </c>
      <c r="B42" s="288" t="str">
        <f>IF(O46=0,"",O46)</f>
        <v/>
      </c>
      <c r="C42" s="281">
        <f ca="1">VLOOKUP(A42,DB_TBL_DATA_FIELDS[[FIELD_ID]:[PCT_CALC_FIELD_STATUS_CODE]],22,FALSE)</f>
        <v>1</v>
      </c>
      <c r="D42" s="281" t="str">
        <f>IF(VLOOKUP(A42,DB_TBL_DATA_FIELDS[[FIELD_ID]:[ERROR_MESSAGE]],23,FALSE)&lt;&gt;0,VLOOKUP(A42,DB_TBL_DATA_FIELDS[[FIELD_ID]:[ERROR_MESSAGE]],23,FALSE),"")</f>
        <v/>
      </c>
      <c r="E42" s="281">
        <f>VLOOKUP(A42,DB_TBL_DATA_FIELDS[[#All],[FIELD_ID]:[RANGE_VALIDATION_MAX]],18,FALSE)</f>
        <v>0</v>
      </c>
      <c r="F42" s="281">
        <f>VLOOKUP(A42,DB_TBL_DATA_FIELDS[[#All],[FIELD_ID]:[RANGE_VALIDATION_MAX]],19,FALSE)</f>
        <v>30</v>
      </c>
      <c r="G42" s="281">
        <f t="shared" ca="1" si="15"/>
        <v>1</v>
      </c>
      <c r="H42" s="207"/>
      <c r="I42" s="466"/>
      <c r="J42" s="467"/>
      <c r="K42" s="467"/>
      <c r="L42" s="467"/>
      <c r="M42" s="467"/>
      <c r="N42" s="467"/>
      <c r="O42" s="467"/>
      <c r="P42" s="467"/>
      <c r="Q42" s="467"/>
      <c r="R42" s="467"/>
      <c r="S42" s="467"/>
      <c r="T42" s="467"/>
      <c r="U42" s="467"/>
      <c r="V42" s="467"/>
      <c r="W42" s="468"/>
      <c r="X42" s="165">
        <f ca="1">G38</f>
        <v>1</v>
      </c>
      <c r="Y42" s="207"/>
    </row>
    <row r="43" spans="1:25" s="142" customFormat="1" ht="21.95" customHeight="1" x14ac:dyDescent="0.25">
      <c r="A43" s="273" t="s">
        <v>2400</v>
      </c>
      <c r="B43" s="288" t="str">
        <f>IF(S46=0,"",S46)</f>
        <v/>
      </c>
      <c r="C43" s="281">
        <f ca="1">VLOOKUP(A43,DB_TBL_DATA_FIELDS[[FIELD_ID]:[PCT_CALC_FIELD_STATUS_CODE]],22,FALSE)</f>
        <v>1</v>
      </c>
      <c r="D43" s="281" t="str">
        <f>IF(VLOOKUP(A43,DB_TBL_DATA_FIELDS[[FIELD_ID]:[ERROR_MESSAGE]],23,FALSE)&lt;&gt;0,VLOOKUP(A43,DB_TBL_DATA_FIELDS[[FIELD_ID]:[ERROR_MESSAGE]],23,FALSE),"")</f>
        <v/>
      </c>
      <c r="E43" s="281">
        <f>VLOOKUP(A43,DB_TBL_DATA_FIELDS[[#All],[FIELD_ID]:[RANGE_VALIDATION_MAX]],18,FALSE)</f>
        <v>2</v>
      </c>
      <c r="F43" s="281">
        <f>VLOOKUP(A43,DB_TBL_DATA_FIELDS[[#All],[FIELD_ID]:[RANGE_VALIDATION_MAX]],19,FALSE)</f>
        <v>2</v>
      </c>
      <c r="G43" s="281">
        <f t="shared" ca="1" si="15"/>
        <v>1</v>
      </c>
      <c r="H43" s="207"/>
      <c r="I43" s="204" t="s">
        <v>3376</v>
      </c>
      <c r="J43" s="140"/>
      <c r="K43" s="204"/>
      <c r="L43" s="140"/>
      <c r="M43" s="204"/>
      <c r="N43" s="140"/>
      <c r="O43" s="204"/>
      <c r="P43" s="140"/>
      <c r="Q43" s="204" t="s">
        <v>219</v>
      </c>
      <c r="R43" s="140"/>
      <c r="S43" s="204"/>
      <c r="T43" s="140"/>
      <c r="U43" s="207"/>
      <c r="V43" s="153"/>
      <c r="W43" s="207"/>
      <c r="X43" s="165"/>
      <c r="Y43" s="207"/>
    </row>
    <row r="44" spans="1:25" ht="21.95" customHeight="1" x14ac:dyDescent="0.2">
      <c r="A44" s="273" t="s">
        <v>2401</v>
      </c>
      <c r="B44" s="289" t="str">
        <f>IF(AND(U46=0,W46=0),"",IF(U46&lt;&gt;0,TEXT(U46,"00000"),"")&amp;IF(W46&lt;&gt;0,"-"&amp;TEXT(W46,"0000"),""))</f>
        <v/>
      </c>
      <c r="C44" s="281">
        <f ca="1">VLOOKUP(A44,DB_TBL_DATA_FIELDS[[FIELD_ID]:[PCT_CALC_FIELD_STATUS_CODE]],22,FALSE)</f>
        <v>1</v>
      </c>
      <c r="D44" s="281" t="str">
        <f>IF(VLOOKUP(A44,DB_TBL_DATA_FIELDS[[FIELD_ID]:[ERROR_MESSAGE]],23,FALSE)&lt;&gt;0,VLOOKUP(A44,DB_TBL_DATA_FIELDS[[FIELD_ID]:[ERROR_MESSAGE]],23,FALSE),"")</f>
        <v/>
      </c>
      <c r="E44" s="281">
        <f>VLOOKUP(A44,DB_TBL_DATA_FIELDS[[#All],[FIELD_ID]:[RANGE_VALIDATION_MAX]],18,FALSE)</f>
        <v>5</v>
      </c>
      <c r="F44" s="281">
        <f>VLOOKUP(A44,DB_TBL_DATA_FIELDS[[#All],[FIELD_ID]:[RANGE_VALIDATION_MAX]],19,FALSE)</f>
        <v>10</v>
      </c>
      <c r="G44" s="281">
        <f t="shared" ca="1" si="15"/>
        <v>1</v>
      </c>
      <c r="H44" s="207"/>
      <c r="I44" s="629"/>
      <c r="J44" s="630"/>
      <c r="K44" s="630"/>
      <c r="L44" s="630"/>
      <c r="M44" s="630"/>
      <c r="N44" s="630"/>
      <c r="O44" s="631"/>
      <c r="P44" s="165">
        <f ca="1">G39</f>
        <v>1</v>
      </c>
      <c r="Q44" s="466"/>
      <c r="R44" s="467"/>
      <c r="S44" s="467"/>
      <c r="T44" s="467"/>
      <c r="U44" s="467"/>
      <c r="V44" s="467"/>
      <c r="W44" s="468"/>
      <c r="X44" s="165">
        <f ca="1">G40</f>
        <v>1</v>
      </c>
      <c r="Y44" s="207"/>
    </row>
    <row r="45" spans="1:25" ht="21.95" customHeight="1" x14ac:dyDescent="0.2">
      <c r="A45" s="273" t="s">
        <v>2402</v>
      </c>
      <c r="B45" s="288" t="str">
        <f>IF(I48=0,"",I48)</f>
        <v/>
      </c>
      <c r="C45" s="281">
        <f ca="1">VLOOKUP(A45,DB_TBL_DATA_FIELDS[[FIELD_ID]:[PCT_CALC_FIELD_STATUS_CODE]],22,FALSE)</f>
        <v>1</v>
      </c>
      <c r="D45" s="281" t="str">
        <f ca="1">IF(VLOOKUP(A45,DB_TBL_DATA_FIELDS[[FIELD_ID]:[ERROR_MESSAGE]],23,FALSE)&lt;&gt;0,VLOOKUP(A45,DB_TBL_DATA_FIELDS[[FIELD_ID]:[ERROR_MESSAGE]],23,FALSE),"")</f>
        <v/>
      </c>
      <c r="E45" s="281">
        <f>VLOOKUP(A45,DB_TBL_DATA_FIELDS[[#All],[FIELD_ID]:[RANGE_VALIDATION_MAX]],18,FALSE)</f>
        <v>0</v>
      </c>
      <c r="F45" s="281">
        <f>VLOOKUP(A45,DB_TBL_DATA_FIELDS[[#All],[FIELD_ID]:[RANGE_VALIDATION_MAX]],19,FALSE)</f>
        <v>150</v>
      </c>
      <c r="G45" s="281">
        <f t="shared" ref="G45" ca="1" si="16">IF(C45&lt;0,"",C45)</f>
        <v>1</v>
      </c>
      <c r="H45" s="207"/>
      <c r="I45" s="207" t="s">
        <v>220</v>
      </c>
      <c r="J45" s="153"/>
      <c r="K45" s="207"/>
      <c r="L45" s="153"/>
      <c r="M45" s="204"/>
      <c r="N45" s="140"/>
      <c r="O45" s="204" t="s">
        <v>84</v>
      </c>
      <c r="P45" s="140"/>
      <c r="Q45" s="204"/>
      <c r="R45" s="140"/>
      <c r="S45" s="204" t="s">
        <v>85</v>
      </c>
      <c r="T45" s="140"/>
      <c r="U45" s="204" t="s">
        <v>3419</v>
      </c>
      <c r="V45" s="140"/>
      <c r="W45" s="204"/>
      <c r="X45" s="140"/>
      <c r="Y45" s="207"/>
    </row>
    <row r="46" spans="1:25" ht="21.95" customHeight="1" x14ac:dyDescent="0.2">
      <c r="A46" s="273" t="s">
        <v>2403</v>
      </c>
      <c r="B46" s="288" t="str">
        <f>IF(Q48=0,"",Q48)</f>
        <v/>
      </c>
      <c r="C46" s="281">
        <f ca="1">VLOOKUP(A46,DB_TBL_DATA_FIELDS[[FIELD_ID]:[PCT_CALC_FIELD_STATUS_CODE]],22,FALSE)</f>
        <v>1</v>
      </c>
      <c r="D46" s="281" t="str">
        <f>IF(VLOOKUP(A46,DB_TBL_DATA_FIELDS[[FIELD_ID]:[ERROR_MESSAGE]],23,FALSE)&lt;&gt;0,VLOOKUP(A46,DB_TBL_DATA_FIELDS[[FIELD_ID]:[ERROR_MESSAGE]],23,FALSE),"")</f>
        <v/>
      </c>
      <c r="E46" s="281">
        <f>VLOOKUP(A46,DB_TBL_DATA_FIELDS[[#All],[FIELD_ID]:[RANGE_VALIDATION_MAX]],18,FALSE)</f>
        <v>0</v>
      </c>
      <c r="F46" s="281">
        <f>VLOOKUP(A46,DB_TBL_DATA_FIELDS[[#All],[FIELD_ID]:[RANGE_VALIDATION_MAX]],19,FALSE)</f>
        <v>150</v>
      </c>
      <c r="G46" s="281">
        <f ca="1">IF(C46&lt;0,"",C46)</f>
        <v>1</v>
      </c>
      <c r="H46" s="207"/>
      <c r="I46" s="608"/>
      <c r="J46" s="609"/>
      <c r="K46" s="609"/>
      <c r="L46" s="609"/>
      <c r="M46" s="610"/>
      <c r="N46" s="165">
        <f ca="1">G41</f>
        <v>1</v>
      </c>
      <c r="O46" s="466"/>
      <c r="P46" s="467"/>
      <c r="Q46" s="468"/>
      <c r="R46" s="165">
        <f ca="1">G42</f>
        <v>1</v>
      </c>
      <c r="S46" s="316"/>
      <c r="T46" s="165">
        <f ca="1">G43</f>
        <v>1</v>
      </c>
      <c r="U46" s="213"/>
      <c r="V46" s="271" t="s">
        <v>86</v>
      </c>
      <c r="W46" s="214"/>
      <c r="X46" s="165">
        <f ca="1">G44</f>
        <v>1</v>
      </c>
      <c r="Y46" s="207"/>
    </row>
    <row r="47" spans="1:25" ht="21.95" customHeight="1" x14ac:dyDescent="0.2">
      <c r="A47" s="290" t="s">
        <v>163</v>
      </c>
      <c r="B47" s="282" t="str">
        <f>"C"&amp;MATCH(LEFT(A47,LEN(A47)-LEN("_RANGE")),A:A,0)+1&amp;":C"&amp;(ROW()-1)</f>
        <v>C38:C46</v>
      </c>
      <c r="C47" s="281"/>
      <c r="D47" s="281"/>
      <c r="E47" s="281"/>
      <c r="F47" s="281"/>
      <c r="G47" s="281"/>
      <c r="H47" s="207"/>
      <c r="I47" s="204" t="s">
        <v>3377</v>
      </c>
      <c r="J47" s="140"/>
      <c r="K47" s="204"/>
      <c r="L47" s="140"/>
      <c r="M47" s="204"/>
      <c r="N47" s="140"/>
      <c r="O47" s="207"/>
      <c r="P47" s="153"/>
      <c r="Q47" s="204" t="s">
        <v>3479</v>
      </c>
      <c r="R47" s="140"/>
      <c r="S47" s="204"/>
      <c r="T47" s="140"/>
      <c r="U47" s="207"/>
      <c r="V47" s="153"/>
      <c r="W47" s="175"/>
      <c r="X47" s="153"/>
      <c r="Y47" s="207"/>
    </row>
    <row r="48" spans="1:25" ht="21.95" customHeight="1" x14ac:dyDescent="0.2">
      <c r="A48" s="290" t="s">
        <v>164</v>
      </c>
      <c r="B48" s="282">
        <f ca="1">COUNTIF(INDIRECT($B$47),2)</f>
        <v>0</v>
      </c>
      <c r="C48" s="281"/>
      <c r="D48" s="281"/>
      <c r="E48" s="281"/>
      <c r="F48" s="281"/>
      <c r="G48" s="281"/>
      <c r="H48" s="207"/>
      <c r="I48" s="618"/>
      <c r="J48" s="619"/>
      <c r="K48" s="619"/>
      <c r="L48" s="619"/>
      <c r="M48" s="619"/>
      <c r="N48" s="619"/>
      <c r="O48" s="620"/>
      <c r="P48" s="165">
        <f ca="1">G45</f>
        <v>1</v>
      </c>
      <c r="Q48" s="611"/>
      <c r="R48" s="612"/>
      <c r="S48" s="612"/>
      <c r="T48" s="612"/>
      <c r="U48" s="612"/>
      <c r="V48" s="612"/>
      <c r="W48" s="613"/>
      <c r="X48" s="165">
        <f ca="1">G46</f>
        <v>1</v>
      </c>
      <c r="Y48" s="207"/>
    </row>
    <row r="49" spans="1:25" ht="21.95" customHeight="1" x14ac:dyDescent="0.2">
      <c r="A49" s="290" t="s">
        <v>165</v>
      </c>
      <c r="B49" s="282">
        <f ca="1">COUNTIF(INDIRECT($B$47),0)+COUNTIF(INDIRECT($B$47),1)+COUNTIF(INDIRECT($B$47),2)</f>
        <v>9</v>
      </c>
      <c r="C49" s="281"/>
      <c r="D49" s="281"/>
      <c r="E49" s="281"/>
      <c r="F49" s="281"/>
      <c r="G49" s="281"/>
      <c r="H49" s="207"/>
      <c r="I49" s="540" t="str">
        <f ca="1">D45</f>
        <v/>
      </c>
      <c r="J49" s="541"/>
      <c r="K49" s="541"/>
      <c r="L49" s="541"/>
      <c r="M49" s="541"/>
      <c r="N49" s="541"/>
      <c r="O49" s="541"/>
      <c r="P49" s="153"/>
      <c r="Q49" s="207"/>
      <c r="R49" s="153"/>
      <c r="S49" s="207"/>
      <c r="T49" s="153"/>
      <c r="U49" s="207"/>
      <c r="V49" s="153"/>
      <c r="W49" s="207"/>
      <c r="X49" s="153"/>
      <c r="Y49" s="207"/>
    </row>
    <row r="50" spans="1:25" ht="21.95" customHeight="1" x14ac:dyDescent="0.2">
      <c r="A50" s="290" t="s">
        <v>166</v>
      </c>
      <c r="B50" s="282">
        <f ca="1">COUNTIF(INDIRECT($B$47),0)</f>
        <v>0</v>
      </c>
      <c r="C50" s="281" t="s">
        <v>2607</v>
      </c>
      <c r="D50" s="281"/>
      <c r="E50" s="281"/>
      <c r="F50" s="281"/>
      <c r="G50" s="281"/>
      <c r="H50" s="204"/>
      <c r="I50" s="176" t="s">
        <v>3420</v>
      </c>
      <c r="J50" s="204"/>
      <c r="K50" s="204"/>
      <c r="L50" s="204"/>
      <c r="M50" s="204"/>
      <c r="N50" s="204"/>
      <c r="O50" s="208"/>
      <c r="P50" s="153"/>
      <c r="Q50" s="207"/>
      <c r="R50" s="153"/>
      <c r="S50" s="207"/>
      <c r="T50" s="153"/>
      <c r="U50" s="207"/>
      <c r="V50" s="153"/>
      <c r="W50" s="207"/>
      <c r="X50" s="153"/>
      <c r="Y50" s="204"/>
    </row>
    <row r="51" spans="1:25" ht="21.95" customHeight="1" x14ac:dyDescent="0.2">
      <c r="A51" s="290" t="s">
        <v>167</v>
      </c>
      <c r="B51" s="291">
        <f ca="1">IFERROR(B48/B49,1.01)</f>
        <v>0</v>
      </c>
      <c r="C51" s="281"/>
      <c r="D51" s="281"/>
      <c r="E51" s="281"/>
      <c r="F51" s="281"/>
      <c r="G51" s="281"/>
      <c r="H51" s="207"/>
      <c r="I51" s="204"/>
      <c r="J51" s="204"/>
      <c r="K51" s="204"/>
      <c r="L51" s="204"/>
      <c r="M51" s="204"/>
      <c r="N51" s="204"/>
      <c r="O51" s="207"/>
      <c r="P51" s="153"/>
      <c r="Q51" s="207"/>
      <c r="R51" s="153"/>
      <c r="S51" s="207"/>
      <c r="T51" s="153"/>
      <c r="U51" s="207"/>
      <c r="V51" s="153"/>
      <c r="W51" s="207"/>
      <c r="X51" s="153"/>
      <c r="Y51" s="207"/>
    </row>
    <row r="52" spans="1:25" ht="21.95" customHeight="1" thickBot="1" x14ac:dyDescent="0.25">
      <c r="A52" s="290" t="s">
        <v>168</v>
      </c>
      <c r="B52" s="292" t="str">
        <f ca="1">IF(B50&gt;0,"Data Error(s)",IF(B51=0,"Not Started",IF(B51&lt;1,ROUNDUP(B51*100,0)&amp;"% Done",IF(B51&gt;1,"Optional","Complete"))))</f>
        <v>Not Started</v>
      </c>
      <c r="C52" s="281"/>
      <c r="D52" s="281"/>
      <c r="E52" s="281"/>
      <c r="F52" s="281"/>
      <c r="G52" s="281"/>
      <c r="H52" s="207"/>
      <c r="I52" s="424" t="str">
        <f>B57</f>
        <v>Sponsor Information</v>
      </c>
      <c r="J52" s="269"/>
      <c r="K52" s="269"/>
      <c r="L52" s="269"/>
      <c r="M52" s="269"/>
      <c r="N52" s="269"/>
      <c r="O52" s="269"/>
      <c r="P52" s="269"/>
      <c r="Q52" s="269"/>
      <c r="R52" s="269"/>
      <c r="S52" s="269"/>
      <c r="T52" s="269"/>
      <c r="U52" s="269"/>
      <c r="V52" s="269"/>
      <c r="W52" s="269"/>
      <c r="X52" s="167" t="str">
        <f ca="1">"Status: "&amp;$B$72</f>
        <v>Status: Not Started</v>
      </c>
      <c r="Y52" s="207"/>
    </row>
    <row r="53" spans="1:25" ht="21.95" customHeight="1" x14ac:dyDescent="0.2">
      <c r="A53" s="290" t="s">
        <v>169</v>
      </c>
      <c r="B53" s="282" t="str">
        <f ca="1">IF(B50&gt;0,0,IF(B51&lt;1,"",2))</f>
        <v/>
      </c>
      <c r="C53" s="281"/>
      <c r="D53" s="281"/>
      <c r="E53" s="281"/>
      <c r="F53" s="281"/>
      <c r="G53" s="281"/>
      <c r="H53" s="207"/>
      <c r="I53" s="207"/>
      <c r="J53" s="153"/>
      <c r="K53" s="207"/>
      <c r="L53" s="153"/>
      <c r="M53" s="207"/>
      <c r="N53" s="153"/>
      <c r="O53" s="207"/>
      <c r="P53" s="153"/>
      <c r="Q53" s="207"/>
      <c r="R53" s="153"/>
      <c r="S53" s="207"/>
      <c r="T53" s="153"/>
      <c r="U53" s="207"/>
      <c r="V53" s="153"/>
      <c r="W53" s="207"/>
      <c r="X53" s="153"/>
      <c r="Y53" s="207"/>
    </row>
    <row r="54" spans="1:25" ht="21.95" customHeight="1" x14ac:dyDescent="0.2">
      <c r="A54" s="290" t="s">
        <v>170</v>
      </c>
      <c r="B54" s="293" t="s">
        <v>2404</v>
      </c>
      <c r="C54" s="281"/>
      <c r="D54" s="281"/>
      <c r="E54" s="281"/>
      <c r="F54" s="281"/>
      <c r="G54" s="281"/>
      <c r="H54" s="215"/>
      <c r="I54" s="204" t="s">
        <v>3378</v>
      </c>
      <c r="J54" s="153"/>
      <c r="K54" s="207"/>
      <c r="L54" s="153"/>
      <c r="M54" s="207"/>
      <c r="N54" s="153"/>
      <c r="O54" s="207"/>
      <c r="P54" s="153"/>
      <c r="Q54" s="207"/>
      <c r="R54" s="153"/>
      <c r="S54" s="207"/>
      <c r="T54" s="153"/>
      <c r="U54" s="215"/>
      <c r="V54" s="153"/>
      <c r="W54" s="215"/>
      <c r="X54" s="153"/>
      <c r="Y54" s="215"/>
    </row>
    <row r="55" spans="1:25" ht="21.95" customHeight="1" x14ac:dyDescent="0.2">
      <c r="A55" s="294" t="s">
        <v>2366</v>
      </c>
      <c r="B55" s="282">
        <v>0</v>
      </c>
      <c r="C55" s="281" t="s">
        <v>2462</v>
      </c>
      <c r="D55" s="281"/>
      <c r="E55" s="281"/>
      <c r="F55" s="281"/>
      <c r="G55" s="281"/>
      <c r="H55" s="215"/>
      <c r="I55" s="466"/>
      <c r="J55" s="467"/>
      <c r="K55" s="467"/>
      <c r="L55" s="467"/>
      <c r="M55" s="467"/>
      <c r="N55" s="467"/>
      <c r="O55" s="467"/>
      <c r="P55" s="467"/>
      <c r="Q55" s="467"/>
      <c r="R55" s="467"/>
      <c r="S55" s="467"/>
      <c r="T55" s="467"/>
      <c r="U55" s="467"/>
      <c r="V55" s="467"/>
      <c r="W55" s="468"/>
      <c r="X55" s="165">
        <f ca="1">G58</f>
        <v>1</v>
      </c>
      <c r="Y55" s="215"/>
    </row>
    <row r="56" spans="1:25" ht="21.95" customHeight="1" x14ac:dyDescent="0.2">
      <c r="A56" s="294" t="s">
        <v>2367</v>
      </c>
      <c r="B56" s="282" t="b">
        <f>(B55&gt;0)</f>
        <v>0</v>
      </c>
      <c r="C56" s="281"/>
      <c r="D56" s="281"/>
      <c r="E56" s="281"/>
      <c r="F56" s="281"/>
      <c r="G56" s="281"/>
      <c r="H56" s="215"/>
      <c r="I56" s="204" t="s">
        <v>3379</v>
      </c>
      <c r="J56" s="140"/>
      <c r="K56" s="204"/>
      <c r="L56" s="140"/>
      <c r="M56" s="204"/>
      <c r="N56" s="140"/>
      <c r="O56" s="215"/>
      <c r="P56" s="153"/>
      <c r="Q56" s="204" t="s">
        <v>219</v>
      </c>
      <c r="R56" s="140"/>
      <c r="S56" s="204"/>
      <c r="T56" s="140"/>
      <c r="U56" s="204"/>
      <c r="V56" s="140"/>
      <c r="W56" s="215"/>
      <c r="X56" s="165"/>
      <c r="Y56" s="215"/>
    </row>
    <row r="57" spans="1:25" ht="21.95" customHeight="1" x14ac:dyDescent="0.2">
      <c r="A57" s="285" t="s">
        <v>221</v>
      </c>
      <c r="B57" s="305" t="s">
        <v>2435</v>
      </c>
      <c r="C57" s="286"/>
      <c r="D57" s="287"/>
      <c r="E57" s="287"/>
      <c r="F57" s="287"/>
      <c r="G57" s="172" t="str">
        <f>B74</f>
        <v>Sponsor Information</v>
      </c>
      <c r="H57" s="215"/>
      <c r="I57" s="629"/>
      <c r="J57" s="630"/>
      <c r="K57" s="630"/>
      <c r="L57" s="630"/>
      <c r="M57" s="630"/>
      <c r="N57" s="630"/>
      <c r="O57" s="631"/>
      <c r="P57" s="165">
        <f ca="1">G59</f>
        <v>1</v>
      </c>
      <c r="Q57" s="466"/>
      <c r="R57" s="467"/>
      <c r="S57" s="467"/>
      <c r="T57" s="467"/>
      <c r="U57" s="467"/>
      <c r="V57" s="467"/>
      <c r="W57" s="468"/>
      <c r="X57" s="165">
        <f ca="1">G60</f>
        <v>1</v>
      </c>
      <c r="Y57" s="215"/>
    </row>
    <row r="58" spans="1:25" ht="21.95" customHeight="1" x14ac:dyDescent="0.2">
      <c r="A58" s="273" t="s">
        <v>193</v>
      </c>
      <c r="B58" s="288" t="str">
        <f>IF(I55=0,"",I55)</f>
        <v/>
      </c>
      <c r="C58" s="281">
        <f ca="1">VLOOKUP(A58,DB_TBL_DATA_FIELDS[[FIELD_ID]:[PCT_CALC_FIELD_STATUS_CODE]],22,FALSE)</f>
        <v>1</v>
      </c>
      <c r="D58" s="281" t="str">
        <f>IF(VLOOKUP(A58,DB_TBL_DATA_FIELDS[[FIELD_ID]:[ERROR_MESSAGE]],23,FALSE)&lt;&gt;0,VLOOKUP(A58,DB_TBL_DATA_FIELDS[[FIELD_ID]:[ERROR_MESSAGE]],23,FALSE),"")</f>
        <v/>
      </c>
      <c r="E58" s="281">
        <f>VLOOKUP(A58,DB_TBL_DATA_FIELDS[[#All],[FIELD_ID]:[RANGE_VALIDATION_MAX]],18,FALSE)</f>
        <v>0</v>
      </c>
      <c r="F58" s="281">
        <f>VLOOKUP(A58,DB_TBL_DATA_FIELDS[[#All],[FIELD_ID]:[RANGE_VALIDATION_MAX]],19,FALSE)</f>
        <v>150</v>
      </c>
      <c r="G58" s="281">
        <f t="shared" ref="G58:G65" ca="1" si="17">IF(C58&lt;0,"",C58)</f>
        <v>1</v>
      </c>
      <c r="H58" s="215"/>
      <c r="I58" s="207" t="s">
        <v>220</v>
      </c>
      <c r="J58" s="153"/>
      <c r="K58" s="207"/>
      <c r="L58" s="153"/>
      <c r="M58" s="204"/>
      <c r="N58" s="140"/>
      <c r="O58" s="204" t="s">
        <v>84</v>
      </c>
      <c r="P58" s="140"/>
      <c r="Q58" s="204"/>
      <c r="R58" s="140"/>
      <c r="S58" s="204" t="s">
        <v>85</v>
      </c>
      <c r="T58" s="140"/>
      <c r="U58" s="204" t="s">
        <v>3419</v>
      </c>
      <c r="V58" s="140"/>
      <c r="W58" s="204"/>
      <c r="X58" s="140"/>
      <c r="Y58" s="215"/>
    </row>
    <row r="59" spans="1:25" ht="21.95" customHeight="1" x14ac:dyDescent="0.2">
      <c r="A59" s="273" t="s">
        <v>195</v>
      </c>
      <c r="B59" s="288" t="str">
        <f>IF(I57=0,"",I57)</f>
        <v/>
      </c>
      <c r="C59" s="281">
        <f ca="1">VLOOKUP(A59,DB_TBL_DATA_FIELDS[[FIELD_ID]:[PCT_CALC_FIELD_STATUS_CODE]],22,FALSE)</f>
        <v>1</v>
      </c>
      <c r="D59" s="281" t="str">
        <f>IF(VLOOKUP(A59,DB_TBL_DATA_FIELDS[[FIELD_ID]:[ERROR_MESSAGE]],23,FALSE)&lt;&gt;0,VLOOKUP(A59,DB_TBL_DATA_FIELDS[[FIELD_ID]:[ERROR_MESSAGE]],23,FALSE),"")</f>
        <v/>
      </c>
      <c r="E59" s="281">
        <f>VLOOKUP(A59,DB_TBL_DATA_FIELDS[[#All],[FIELD_ID]:[RANGE_VALIDATION_MAX]],18,FALSE)</f>
        <v>0</v>
      </c>
      <c r="F59" s="281">
        <f>VLOOKUP(A59,DB_TBL_DATA_FIELDS[[#All],[FIELD_ID]:[RANGE_VALIDATION_MAX]],19,FALSE)</f>
        <v>150</v>
      </c>
      <c r="G59" s="281">
        <f t="shared" ca="1" si="17"/>
        <v>1</v>
      </c>
      <c r="H59" s="215"/>
      <c r="I59" s="608"/>
      <c r="J59" s="609"/>
      <c r="K59" s="609"/>
      <c r="L59" s="609"/>
      <c r="M59" s="610"/>
      <c r="N59" s="165">
        <f ca="1">G61</f>
        <v>1</v>
      </c>
      <c r="O59" s="466"/>
      <c r="P59" s="467"/>
      <c r="Q59" s="468"/>
      <c r="R59" s="165">
        <f ca="1">G62</f>
        <v>1</v>
      </c>
      <c r="S59" s="316"/>
      <c r="T59" s="165">
        <f ca="1">G63</f>
        <v>1</v>
      </c>
      <c r="U59" s="213"/>
      <c r="V59" s="271" t="s">
        <v>86</v>
      </c>
      <c r="W59" s="214"/>
      <c r="X59" s="165">
        <f ca="1">G64</f>
        <v>1</v>
      </c>
      <c r="Y59" s="215"/>
    </row>
    <row r="60" spans="1:25" ht="21.95" customHeight="1" x14ac:dyDescent="0.2">
      <c r="A60" s="273" t="s">
        <v>196</v>
      </c>
      <c r="B60" s="288" t="str">
        <f>IF(Q57=0,"",Q57)</f>
        <v/>
      </c>
      <c r="C60" s="281">
        <f ca="1">VLOOKUP(A60,DB_TBL_DATA_FIELDS[[FIELD_ID]:[PCT_CALC_FIELD_STATUS_CODE]],22,FALSE)</f>
        <v>1</v>
      </c>
      <c r="D60" s="281" t="str">
        <f>IF(VLOOKUP(A60,DB_TBL_DATA_FIELDS[[FIELD_ID]:[ERROR_MESSAGE]],23,FALSE)&lt;&gt;0,VLOOKUP(A60,DB_TBL_DATA_FIELDS[[FIELD_ID]:[ERROR_MESSAGE]],23,FALSE),"")</f>
        <v/>
      </c>
      <c r="E60" s="281">
        <f>VLOOKUP(A60,DB_TBL_DATA_FIELDS[[#All],[FIELD_ID]:[RANGE_VALIDATION_MAX]],18,FALSE)</f>
        <v>0</v>
      </c>
      <c r="F60" s="281">
        <f>VLOOKUP(A60,DB_TBL_DATA_FIELDS[[#All],[FIELD_ID]:[RANGE_VALIDATION_MAX]],19,FALSE)</f>
        <v>150</v>
      </c>
      <c r="G60" s="281">
        <f t="shared" ca="1" si="17"/>
        <v>1</v>
      </c>
      <c r="H60" s="215"/>
      <c r="I60" s="204" t="s">
        <v>3377</v>
      </c>
      <c r="J60" s="140"/>
      <c r="K60" s="204"/>
      <c r="L60" s="140"/>
      <c r="M60" s="204"/>
      <c r="N60" s="140"/>
      <c r="O60" s="207"/>
      <c r="P60" s="153"/>
      <c r="Q60" s="204" t="s">
        <v>3479</v>
      </c>
      <c r="R60" s="140"/>
      <c r="S60" s="204"/>
      <c r="T60" s="140"/>
      <c r="U60" s="215"/>
      <c r="V60" s="153"/>
      <c r="W60" s="175"/>
      <c r="X60" s="153"/>
      <c r="Y60" s="215"/>
    </row>
    <row r="61" spans="1:25" ht="21.95" customHeight="1" x14ac:dyDescent="0.2">
      <c r="A61" s="273" t="s">
        <v>197</v>
      </c>
      <c r="B61" s="288" t="str">
        <f>IF(I59=0,"",I59)</f>
        <v/>
      </c>
      <c r="C61" s="281">
        <f ca="1">VLOOKUP(A61,DB_TBL_DATA_FIELDS[[FIELD_ID]:[PCT_CALC_FIELD_STATUS_CODE]],22,FALSE)</f>
        <v>1</v>
      </c>
      <c r="D61" s="281" t="str">
        <f>IF(VLOOKUP(A61,DB_TBL_DATA_FIELDS[[FIELD_ID]:[ERROR_MESSAGE]],23,FALSE)&lt;&gt;0,VLOOKUP(A61,DB_TBL_DATA_FIELDS[[FIELD_ID]:[ERROR_MESSAGE]],23,FALSE),"")</f>
        <v/>
      </c>
      <c r="E61" s="281">
        <f>VLOOKUP(A61,DB_TBL_DATA_FIELDS[[#All],[FIELD_ID]:[RANGE_VALIDATION_MAX]],18,FALSE)</f>
        <v>0</v>
      </c>
      <c r="F61" s="281">
        <f>VLOOKUP(A61,DB_TBL_DATA_FIELDS[[#All],[FIELD_ID]:[RANGE_VALIDATION_MAX]],19,FALSE)</f>
        <v>60</v>
      </c>
      <c r="G61" s="281">
        <f t="shared" ca="1" si="17"/>
        <v>1</v>
      </c>
      <c r="H61" s="215"/>
      <c r="I61" s="618"/>
      <c r="J61" s="619"/>
      <c r="K61" s="619"/>
      <c r="L61" s="619"/>
      <c r="M61" s="619"/>
      <c r="N61" s="619"/>
      <c r="O61" s="620"/>
      <c r="P61" s="165">
        <f ca="1">G65</f>
        <v>1</v>
      </c>
      <c r="Q61" s="611"/>
      <c r="R61" s="612"/>
      <c r="S61" s="612"/>
      <c r="T61" s="612"/>
      <c r="U61" s="612"/>
      <c r="V61" s="612"/>
      <c r="W61" s="613"/>
      <c r="X61" s="165">
        <f ca="1">G66</f>
        <v>1</v>
      </c>
      <c r="Y61" s="215"/>
    </row>
    <row r="62" spans="1:25" ht="21.95" customHeight="1" x14ac:dyDescent="0.2">
      <c r="A62" s="273" t="s">
        <v>198</v>
      </c>
      <c r="B62" s="288" t="str">
        <f>IF(O59=0,"",O59)</f>
        <v/>
      </c>
      <c r="C62" s="281">
        <f ca="1">VLOOKUP(A62,DB_TBL_DATA_FIELDS[[FIELD_ID]:[PCT_CALC_FIELD_STATUS_CODE]],22,FALSE)</f>
        <v>1</v>
      </c>
      <c r="D62" s="281" t="str">
        <f>IF(VLOOKUP(A62,DB_TBL_DATA_FIELDS[[FIELD_ID]:[ERROR_MESSAGE]],23,FALSE)&lt;&gt;0,VLOOKUP(A62,DB_TBL_DATA_FIELDS[[FIELD_ID]:[ERROR_MESSAGE]],23,FALSE),"")</f>
        <v/>
      </c>
      <c r="E62" s="281">
        <f>VLOOKUP(A62,DB_TBL_DATA_FIELDS[[#All],[FIELD_ID]:[RANGE_VALIDATION_MAX]],18,FALSE)</f>
        <v>0</v>
      </c>
      <c r="F62" s="281">
        <f>VLOOKUP(A62,DB_TBL_DATA_FIELDS[[#All],[FIELD_ID]:[RANGE_VALIDATION_MAX]],19,FALSE)</f>
        <v>30</v>
      </c>
      <c r="G62" s="281">
        <f t="shared" ca="1" si="17"/>
        <v>1</v>
      </c>
      <c r="H62" s="215"/>
      <c r="I62" s="540" t="str">
        <f ca="1">D65</f>
        <v/>
      </c>
      <c r="J62" s="541"/>
      <c r="K62" s="541"/>
      <c r="L62" s="541"/>
      <c r="M62" s="541"/>
      <c r="N62" s="541"/>
      <c r="O62" s="541"/>
      <c r="P62" s="153"/>
      <c r="Q62" s="215"/>
      <c r="R62" s="153"/>
      <c r="S62" s="215"/>
      <c r="T62" s="153"/>
      <c r="U62" s="215"/>
      <c r="V62" s="153"/>
      <c r="W62" s="215"/>
      <c r="X62" s="153"/>
      <c r="Y62" s="215"/>
    </row>
    <row r="63" spans="1:25" ht="21.95" customHeight="1" x14ac:dyDescent="0.2">
      <c r="A63" s="273" t="s">
        <v>199</v>
      </c>
      <c r="B63" s="288" t="str">
        <f>IF(S59=0,"",S59)</f>
        <v/>
      </c>
      <c r="C63" s="281">
        <f ca="1">VLOOKUP(A63,DB_TBL_DATA_FIELDS[[FIELD_ID]:[PCT_CALC_FIELD_STATUS_CODE]],22,FALSE)</f>
        <v>1</v>
      </c>
      <c r="D63" s="281" t="str">
        <f>IF(VLOOKUP(A63,DB_TBL_DATA_FIELDS[[FIELD_ID]:[ERROR_MESSAGE]],23,FALSE)&lt;&gt;0,VLOOKUP(A63,DB_TBL_DATA_FIELDS[[FIELD_ID]:[ERROR_MESSAGE]],23,FALSE),"")</f>
        <v/>
      </c>
      <c r="E63" s="281">
        <f>VLOOKUP(A63,DB_TBL_DATA_FIELDS[[#All],[FIELD_ID]:[RANGE_VALIDATION_MAX]],18,FALSE)</f>
        <v>2</v>
      </c>
      <c r="F63" s="281">
        <f>VLOOKUP(A63,DB_TBL_DATA_FIELDS[[#All],[FIELD_ID]:[RANGE_VALIDATION_MAX]],19,FALSE)</f>
        <v>2</v>
      </c>
      <c r="G63" s="281">
        <f t="shared" ca="1" si="17"/>
        <v>1</v>
      </c>
      <c r="H63" s="204"/>
      <c r="I63" s="176" t="s">
        <v>3420</v>
      </c>
      <c r="J63" s="204"/>
      <c r="K63" s="204"/>
      <c r="L63" s="204"/>
      <c r="M63" s="204"/>
      <c r="N63" s="204"/>
      <c r="O63" s="208"/>
      <c r="P63" s="153"/>
      <c r="Q63" s="207"/>
      <c r="R63" s="153"/>
      <c r="S63" s="207"/>
      <c r="T63" s="153"/>
      <c r="U63" s="207"/>
      <c r="V63" s="153"/>
      <c r="W63" s="207"/>
      <c r="X63" s="153"/>
      <c r="Y63" s="204"/>
    </row>
    <row r="64" spans="1:25" ht="21.95" customHeight="1" x14ac:dyDescent="0.2">
      <c r="A64" s="273" t="s">
        <v>200</v>
      </c>
      <c r="B64" s="289" t="str">
        <f>IF(AND(U59=0,W59=0),"",IF(U59&lt;&gt;0,TEXT(U59,"00000"),"")&amp;IF(W59&lt;&gt;0,"-"&amp;TEXT(W59,"0000"),""))</f>
        <v/>
      </c>
      <c r="C64" s="281">
        <f ca="1">VLOOKUP(A64,DB_TBL_DATA_FIELDS[[FIELD_ID]:[PCT_CALC_FIELD_STATUS_CODE]],22,FALSE)</f>
        <v>1</v>
      </c>
      <c r="D64" s="281" t="str">
        <f>IF(VLOOKUP(A64,DB_TBL_DATA_FIELDS[[FIELD_ID]:[ERROR_MESSAGE]],23,FALSE)&lt;&gt;0,VLOOKUP(A64,DB_TBL_DATA_FIELDS[[FIELD_ID]:[ERROR_MESSAGE]],23,FALSE),"")</f>
        <v/>
      </c>
      <c r="E64" s="281">
        <f>VLOOKUP(A64,DB_TBL_DATA_FIELDS[[#All],[FIELD_ID]:[RANGE_VALIDATION_MAX]],18,FALSE)</f>
        <v>5</v>
      </c>
      <c r="F64" s="281">
        <f>VLOOKUP(A64,DB_TBL_DATA_FIELDS[[#All],[FIELD_ID]:[RANGE_VALIDATION_MAX]],19,FALSE)</f>
        <v>10</v>
      </c>
      <c r="G64" s="281">
        <f t="shared" ca="1" si="17"/>
        <v>1</v>
      </c>
      <c r="H64" s="215"/>
      <c r="I64" s="185"/>
      <c r="J64" s="185"/>
      <c r="K64" s="185"/>
      <c r="L64" s="185"/>
      <c r="M64" s="185"/>
      <c r="N64" s="185"/>
      <c r="O64" s="185"/>
      <c r="P64" s="153"/>
      <c r="Q64" s="215"/>
      <c r="R64" s="153"/>
      <c r="S64" s="215"/>
      <c r="T64" s="153"/>
      <c r="U64" s="215"/>
      <c r="V64" s="153"/>
      <c r="W64" s="215"/>
      <c r="X64" s="153"/>
      <c r="Y64" s="215"/>
    </row>
    <row r="65" spans="1:25" ht="21.95" customHeight="1" thickBot="1" x14ac:dyDescent="0.25">
      <c r="A65" s="273" t="s">
        <v>201</v>
      </c>
      <c r="B65" s="288" t="str">
        <f>IF(I61=0,"",I61)</f>
        <v/>
      </c>
      <c r="C65" s="281">
        <f ca="1">VLOOKUP(A65,DB_TBL_DATA_FIELDS[[FIELD_ID]:[PCT_CALC_FIELD_STATUS_CODE]],22,FALSE)</f>
        <v>1</v>
      </c>
      <c r="D65" s="281" t="str">
        <f ca="1">IF(VLOOKUP(A65,DB_TBL_DATA_FIELDS[[FIELD_ID]:[ERROR_MESSAGE]],23,FALSE)&lt;&gt;0,VLOOKUP(A65,DB_TBL_DATA_FIELDS[[FIELD_ID]:[ERROR_MESSAGE]],23,FALSE),"")</f>
        <v/>
      </c>
      <c r="E65" s="281">
        <f>VLOOKUP(A65,DB_TBL_DATA_FIELDS[[#All],[FIELD_ID]:[RANGE_VALIDATION_MAX]],18,FALSE)</f>
        <v>0</v>
      </c>
      <c r="F65" s="281">
        <f>VLOOKUP(A65,DB_TBL_DATA_FIELDS[[#All],[FIELD_ID]:[RANGE_VALIDATION_MAX]],19,FALSE)</f>
        <v>150</v>
      </c>
      <c r="G65" s="281">
        <f t="shared" ca="1" si="17"/>
        <v>1</v>
      </c>
      <c r="H65" s="215"/>
      <c r="I65" s="424" t="str">
        <f>B77</f>
        <v>Subsidy Request</v>
      </c>
      <c r="J65" s="269"/>
      <c r="K65" s="269"/>
      <c r="L65" s="269"/>
      <c r="M65" s="269"/>
      <c r="N65" s="269"/>
      <c r="O65" s="269"/>
      <c r="P65" s="269"/>
      <c r="Q65" s="269"/>
      <c r="R65" s="269"/>
      <c r="S65" s="269"/>
      <c r="T65" s="269"/>
      <c r="U65" s="269"/>
      <c r="V65" s="269"/>
      <c r="W65" s="269"/>
      <c r="X65" s="167" t="str">
        <f ca="1">"Status: "&amp;$B$103</f>
        <v>Status: Not Started</v>
      </c>
      <c r="Y65" s="215"/>
    </row>
    <row r="66" spans="1:25" ht="21.95" customHeight="1" x14ac:dyDescent="0.2">
      <c r="A66" s="273" t="s">
        <v>194</v>
      </c>
      <c r="B66" s="288" t="str">
        <f>IF(Q61=0,"",Q61)</f>
        <v/>
      </c>
      <c r="C66" s="281">
        <f ca="1">VLOOKUP(A66,DB_TBL_DATA_FIELDS[[FIELD_ID]:[PCT_CALC_FIELD_STATUS_CODE]],22,FALSE)</f>
        <v>1</v>
      </c>
      <c r="D66" s="281" t="str">
        <f>IF(VLOOKUP(A66,DB_TBL_DATA_FIELDS[[FIELD_ID]:[ERROR_MESSAGE]],23,FALSE)&lt;&gt;0,VLOOKUP(A66,DB_TBL_DATA_FIELDS[[FIELD_ID]:[ERROR_MESSAGE]],23,FALSE),"")</f>
        <v/>
      </c>
      <c r="E66" s="281">
        <f>VLOOKUP(A66,DB_TBL_DATA_FIELDS[[#All],[FIELD_ID]:[RANGE_VALIDATION_MAX]],18,FALSE)</f>
        <v>0</v>
      </c>
      <c r="F66" s="281">
        <f>VLOOKUP(A66,DB_TBL_DATA_FIELDS[[#All],[FIELD_ID]:[RANGE_VALIDATION_MAX]],19,FALSE)</f>
        <v>150</v>
      </c>
      <c r="G66" s="281">
        <f ca="1">IF(C66&lt;0,"",C66)</f>
        <v>1</v>
      </c>
      <c r="H66" s="215"/>
      <c r="I66" s="185"/>
      <c r="J66" s="185"/>
      <c r="K66" s="185"/>
      <c r="L66" s="185"/>
      <c r="M66" s="185"/>
      <c r="N66" s="185"/>
      <c r="O66" s="185"/>
      <c r="P66" s="153"/>
      <c r="Q66" s="215"/>
      <c r="R66" s="153"/>
      <c r="S66" s="215"/>
      <c r="T66" s="153"/>
      <c r="U66" s="215"/>
      <c r="V66" s="153"/>
      <c r="W66" s="215"/>
      <c r="X66" s="153"/>
      <c r="Y66" s="215"/>
    </row>
    <row r="67" spans="1:25" ht="21.95" customHeight="1" thickBot="1" x14ac:dyDescent="0.25">
      <c r="A67" s="290" t="s">
        <v>222</v>
      </c>
      <c r="B67" s="282" t="str">
        <f>"C"&amp;MATCH(LEFT(A67,LEN(A67)-LEN("_RANGE")),A:A,0)+1&amp;":C"&amp;(ROW()-1)</f>
        <v>C58:C66</v>
      </c>
      <c r="C67" s="281"/>
      <c r="D67" s="281"/>
      <c r="E67" s="281"/>
      <c r="F67" s="281"/>
      <c r="G67" s="281"/>
      <c r="H67" s="215"/>
      <c r="I67" s="216" t="s">
        <v>2461</v>
      </c>
      <c r="J67" s="217"/>
      <c r="K67" s="218"/>
      <c r="L67" s="217"/>
      <c r="M67" s="218"/>
      <c r="N67" s="217"/>
      <c r="O67" s="218"/>
      <c r="P67" s="217"/>
      <c r="Q67" s="218"/>
      <c r="R67" s="217"/>
      <c r="S67" s="218"/>
      <c r="T67" s="217"/>
      <c r="U67" s="218"/>
      <c r="V67" s="217"/>
      <c r="W67" s="219"/>
      <c r="X67" s="153"/>
      <c r="Y67" s="215"/>
    </row>
    <row r="68" spans="1:25" ht="21.95" customHeight="1" thickTop="1" x14ac:dyDescent="0.2">
      <c r="A68" s="290" t="s">
        <v>223</v>
      </c>
      <c r="B68" s="282">
        <f ca="1">COUNTIF(INDIRECT($B67),2)</f>
        <v>0</v>
      </c>
      <c r="C68" s="281"/>
      <c r="D68" s="281"/>
      <c r="E68" s="281"/>
      <c r="F68" s="281"/>
      <c r="G68" s="281"/>
      <c r="H68" s="215"/>
      <c r="I68" s="207" t="str">
        <f>"Direct Subsidy Amount (Maximum: "&amp;TEXT('$DB.CONFIG'!D13,"$#,###")&amp;")"</f>
        <v>Direct Subsidy Amount (Maximum: $1,250,000)</v>
      </c>
      <c r="J68" s="153"/>
      <c r="K68" s="215"/>
      <c r="L68" s="202"/>
      <c r="M68" s="186"/>
      <c r="N68" s="153"/>
      <c r="O68" s="215"/>
      <c r="P68" s="153"/>
      <c r="Q68" s="215"/>
      <c r="R68" s="153"/>
      <c r="S68" s="215"/>
      <c r="T68" s="153"/>
      <c r="U68" s="215"/>
      <c r="V68" s="153"/>
      <c r="W68" s="215"/>
      <c r="X68" s="153"/>
      <c r="Y68" s="215"/>
    </row>
    <row r="69" spans="1:25" ht="21.95" customHeight="1" x14ac:dyDescent="0.2">
      <c r="A69" s="290" t="s">
        <v>224</v>
      </c>
      <c r="B69" s="282">
        <f ca="1">COUNTIF(INDIRECT($B67),0)+COUNTIF(INDIRECT($B67),1)+COUNTIF(INDIRECT($B67),2)</f>
        <v>9</v>
      </c>
      <c r="C69" s="281"/>
      <c r="D69" s="281"/>
      <c r="E69" s="281"/>
      <c r="F69" s="281"/>
      <c r="G69" s="281"/>
      <c r="H69" s="215"/>
      <c r="I69" s="596"/>
      <c r="J69" s="597"/>
      <c r="K69" s="597"/>
      <c r="L69" s="165">
        <f ca="1">G78</f>
        <v>1</v>
      </c>
      <c r="M69" s="177"/>
      <c r="N69" s="177"/>
      <c r="O69" s="177"/>
      <c r="P69" s="177"/>
      <c r="Q69" s="177"/>
      <c r="R69" s="177"/>
      <c r="S69" s="177"/>
      <c r="T69" s="177"/>
      <c r="U69" s="177"/>
      <c r="V69" s="177"/>
      <c r="W69" s="177"/>
      <c r="X69" s="177"/>
      <c r="Y69" s="215"/>
    </row>
    <row r="70" spans="1:25" ht="21.95" customHeight="1" x14ac:dyDescent="0.2">
      <c r="A70" s="290" t="s">
        <v>225</v>
      </c>
      <c r="B70" s="282">
        <f ca="1">COUNTIF(INDIRECT($B67),0)</f>
        <v>0</v>
      </c>
      <c r="C70" s="281" t="s">
        <v>2607</v>
      </c>
      <c r="D70" s="281"/>
      <c r="E70" s="281"/>
      <c r="F70" s="281"/>
      <c r="G70" s="281"/>
      <c r="H70" s="215"/>
      <c r="I70" s="187" t="s">
        <v>3421</v>
      </c>
      <c r="J70" s="153"/>
      <c r="K70" s="215"/>
      <c r="L70" s="153"/>
      <c r="M70" s="215"/>
      <c r="N70" s="153"/>
      <c r="O70" s="215"/>
      <c r="P70" s="153"/>
      <c r="Q70" s="215"/>
      <c r="R70" s="153"/>
      <c r="S70" s="215"/>
      <c r="T70" s="153"/>
      <c r="U70" s="188"/>
      <c r="V70" s="188"/>
      <c r="W70" s="188"/>
      <c r="X70" s="153"/>
      <c r="Y70" s="215"/>
    </row>
    <row r="71" spans="1:25" ht="21.95" customHeight="1" thickBot="1" x14ac:dyDescent="0.25">
      <c r="A71" s="290" t="s">
        <v>226</v>
      </c>
      <c r="B71" s="291">
        <f ca="1">IFERROR(B68/B69,1.01)</f>
        <v>0</v>
      </c>
      <c r="C71" s="281"/>
      <c r="D71" s="281"/>
      <c r="E71" s="281"/>
      <c r="F71" s="281"/>
      <c r="G71" s="281"/>
      <c r="H71" s="215"/>
      <c r="I71" s="216" t="s">
        <v>3422</v>
      </c>
      <c r="J71" s="217"/>
      <c r="K71" s="218"/>
      <c r="L71" s="217"/>
      <c r="M71" s="218"/>
      <c r="N71" s="217"/>
      <c r="O71" s="218"/>
      <c r="P71" s="217"/>
      <c r="Q71" s="218"/>
      <c r="R71" s="217"/>
      <c r="S71" s="218"/>
      <c r="T71" s="217"/>
      <c r="U71" s="218"/>
      <c r="V71" s="217"/>
      <c r="W71" s="218"/>
      <c r="X71" s="153"/>
      <c r="Y71" s="215"/>
    </row>
    <row r="72" spans="1:25" ht="21.75" customHeight="1" thickTop="1" x14ac:dyDescent="0.2">
      <c r="A72" s="290" t="s">
        <v>227</v>
      </c>
      <c r="B72" s="292" t="str">
        <f ca="1">IF(B70&gt;0,"Data Error(s)",IF(B71=0,"Not Started",IF(B71&lt;1,ROUNDUP(B71*100,0)&amp;"% Done",IF(B71&gt;1,"Optional","Complete"))))</f>
        <v>Not Started</v>
      </c>
      <c r="C72" s="281"/>
      <c r="D72" s="281"/>
      <c r="E72" s="281"/>
      <c r="F72" s="281"/>
      <c r="G72" s="281"/>
      <c r="H72" s="215"/>
      <c r="I72" s="207" t="s">
        <v>3423</v>
      </c>
      <c r="J72" s="153"/>
      <c r="K72" s="215"/>
      <c r="L72" s="153"/>
      <c r="M72" s="207" t="s">
        <v>61</v>
      </c>
      <c r="N72" s="153"/>
      <c r="O72" s="215"/>
      <c r="P72" s="153"/>
      <c r="Q72" s="215"/>
      <c r="R72" s="153"/>
      <c r="S72" s="215"/>
      <c r="T72" s="153"/>
      <c r="U72" s="207" t="s">
        <v>2463</v>
      </c>
      <c r="V72" s="153"/>
      <c r="W72" s="215"/>
      <c r="X72" s="153"/>
      <c r="Y72" s="215"/>
    </row>
    <row r="73" spans="1:25" ht="21.95" customHeight="1" x14ac:dyDescent="0.2">
      <c r="A73" s="290" t="s">
        <v>228</v>
      </c>
      <c r="B73" s="282" t="str">
        <f ca="1">IF(B70&gt;0,0,IF(B71&lt;1,"",2))</f>
        <v/>
      </c>
      <c r="C73" s="281"/>
      <c r="D73" s="281"/>
      <c r="E73" s="281"/>
      <c r="F73" s="281"/>
      <c r="G73" s="281"/>
      <c r="H73" s="215"/>
      <c r="I73" s="644"/>
      <c r="J73" s="645"/>
      <c r="K73" s="646"/>
      <c r="L73" s="165">
        <f ca="1">G79</f>
        <v>1</v>
      </c>
      <c r="M73" s="608"/>
      <c r="N73" s="609"/>
      <c r="O73" s="609"/>
      <c r="P73" s="609"/>
      <c r="Q73" s="609"/>
      <c r="R73" s="609"/>
      <c r="S73" s="610"/>
      <c r="T73" s="165" t="str">
        <f ca="1">G80</f>
        <v/>
      </c>
      <c r="U73" s="466"/>
      <c r="V73" s="467"/>
      <c r="W73" s="468"/>
      <c r="X73" s="165" t="str">
        <f ca="1">G81</f>
        <v/>
      </c>
      <c r="Y73" s="215"/>
    </row>
    <row r="74" spans="1:25" ht="21.95" customHeight="1" x14ac:dyDescent="0.2">
      <c r="A74" s="290" t="s">
        <v>229</v>
      </c>
      <c r="B74" s="293" t="s">
        <v>2435</v>
      </c>
      <c r="C74" s="281"/>
      <c r="D74" s="281"/>
      <c r="E74" s="281"/>
      <c r="F74" s="281"/>
      <c r="G74" s="281"/>
      <c r="H74" s="215"/>
      <c r="I74" s="509" t="s">
        <v>3596</v>
      </c>
      <c r="J74" s="509"/>
      <c r="K74" s="509"/>
      <c r="L74" s="509"/>
      <c r="M74" s="509"/>
      <c r="N74" s="509"/>
      <c r="O74" s="509"/>
      <c r="P74" s="509"/>
      <c r="Q74" s="509"/>
      <c r="R74" s="509"/>
      <c r="S74" s="509"/>
      <c r="T74" s="509"/>
      <c r="U74" s="509"/>
      <c r="V74" s="509"/>
      <c r="W74" s="509"/>
      <c r="X74" s="153"/>
      <c r="Y74" s="215"/>
    </row>
    <row r="75" spans="1:25" ht="21.95" customHeight="1" x14ac:dyDescent="0.2">
      <c r="A75" s="294" t="s">
        <v>2364</v>
      </c>
      <c r="B75" s="282">
        <v>0</v>
      </c>
      <c r="C75" s="281" t="s">
        <v>2462</v>
      </c>
      <c r="D75" s="281"/>
      <c r="E75" s="281"/>
      <c r="F75" s="281"/>
      <c r="G75" s="281"/>
      <c r="H75" s="215"/>
      <c r="I75" s="509"/>
      <c r="J75" s="509"/>
      <c r="K75" s="509"/>
      <c r="L75" s="509"/>
      <c r="M75" s="509"/>
      <c r="N75" s="509"/>
      <c r="O75" s="509"/>
      <c r="P75" s="509"/>
      <c r="Q75" s="509"/>
      <c r="R75" s="509"/>
      <c r="S75" s="509"/>
      <c r="T75" s="509"/>
      <c r="U75" s="509"/>
      <c r="V75" s="509"/>
      <c r="W75" s="509"/>
      <c r="X75" s="153"/>
      <c r="Y75" s="215"/>
    </row>
    <row r="76" spans="1:25" ht="21.95" customHeight="1" x14ac:dyDescent="0.2">
      <c r="A76" s="294" t="s">
        <v>2365</v>
      </c>
      <c r="B76" s="282" t="b">
        <f>(B75&gt;0)</f>
        <v>0</v>
      </c>
      <c r="C76" s="281"/>
      <c r="D76" s="281"/>
      <c r="E76" s="281"/>
      <c r="F76" s="281"/>
      <c r="G76" s="281"/>
      <c r="H76" s="215"/>
      <c r="I76" s="509"/>
      <c r="J76" s="509"/>
      <c r="K76" s="509"/>
      <c r="L76" s="509"/>
      <c r="M76" s="509"/>
      <c r="N76" s="509"/>
      <c r="O76" s="509"/>
      <c r="P76" s="509"/>
      <c r="Q76" s="509"/>
      <c r="R76" s="509"/>
      <c r="S76" s="509"/>
      <c r="T76" s="509"/>
      <c r="U76" s="509"/>
      <c r="V76" s="509"/>
      <c r="W76" s="509"/>
      <c r="X76" s="153"/>
      <c r="Y76" s="215"/>
    </row>
    <row r="77" spans="1:25" ht="21.95" customHeight="1" thickBot="1" x14ac:dyDescent="0.25">
      <c r="A77" s="285" t="s">
        <v>232</v>
      </c>
      <c r="B77" s="305" t="s">
        <v>287</v>
      </c>
      <c r="C77" s="286"/>
      <c r="D77" s="287"/>
      <c r="E77" s="287"/>
      <c r="F77" s="287"/>
      <c r="G77" s="172" t="str">
        <f>B105</f>
        <v>Subsidy Request</v>
      </c>
      <c r="H77" s="215"/>
      <c r="I77" s="216" t="s">
        <v>3424</v>
      </c>
      <c r="J77" s="189"/>
      <c r="K77" s="189"/>
      <c r="L77" s="189"/>
      <c r="M77" s="189"/>
      <c r="N77" s="189"/>
      <c r="O77" s="189"/>
      <c r="P77" s="217"/>
      <c r="Q77" s="218"/>
      <c r="R77" s="217"/>
      <c r="S77" s="218"/>
      <c r="T77" s="217"/>
      <c r="U77" s="218"/>
      <c r="V77" s="217"/>
      <c r="W77" s="218"/>
      <c r="X77" s="153"/>
      <c r="Y77" s="215"/>
    </row>
    <row r="78" spans="1:25" ht="21.95" customHeight="1" thickTop="1" x14ac:dyDescent="0.2">
      <c r="A78" s="273" t="s">
        <v>212</v>
      </c>
      <c r="B78" s="288" t="str">
        <f>IF(I69&lt;&gt;"",I69,"")</f>
        <v/>
      </c>
      <c r="C78" s="281">
        <f ca="1">VLOOKUP(A78,DB_TBL_DATA_FIELDS[[FIELD_ID]:[PCT_CALC_FIELD_STATUS_CODE]],22,FALSE)</f>
        <v>1</v>
      </c>
      <c r="D78" s="281" t="str">
        <f ca="1">IF(VLOOKUP(A78,DB_TBL_DATA_FIELDS[[FIELD_ID]:[ERROR_MESSAGE]],23,FALSE)&lt;&gt;0,VLOOKUP(A78,DB_TBL_DATA_FIELDS[[FIELD_ID]:[ERROR_MESSAGE]],23,FALSE),"")</f>
        <v/>
      </c>
      <c r="E78" s="281">
        <f>VLOOKUP(A78,DB_TBL_DATA_FIELDS[[#All],[FIELD_ID]:[RANGE_VALIDATION_MAX]],18,FALSE)</f>
        <v>1</v>
      </c>
      <c r="F78" s="281">
        <f>VLOOKUP(A78,DB_TBL_DATA_FIELDS[[#All],[FIELD_ID]:[RANGE_VALIDATION_MAX]],19,FALSE)</f>
        <v>1250000</v>
      </c>
      <c r="G78" s="281">
        <f t="shared" ref="G78" ca="1" si="18">IF(C78&lt;0,"",C78)</f>
        <v>1</v>
      </c>
      <c r="H78" s="215"/>
      <c r="I78" s="204" t="s">
        <v>3425</v>
      </c>
      <c r="J78" s="185"/>
      <c r="K78" s="185"/>
      <c r="L78" s="185"/>
      <c r="M78" s="204" t="s">
        <v>2464</v>
      </c>
      <c r="N78" s="185"/>
      <c r="O78" s="185"/>
      <c r="P78" s="153"/>
      <c r="Q78" s="215"/>
      <c r="R78" s="153"/>
      <c r="S78" s="204" t="s">
        <v>2465</v>
      </c>
      <c r="T78" s="153"/>
      <c r="U78" s="215"/>
      <c r="V78" s="153"/>
      <c r="W78" s="215"/>
      <c r="X78" s="153"/>
      <c r="Y78" s="215"/>
    </row>
    <row r="79" spans="1:25" ht="21.95" customHeight="1" x14ac:dyDescent="0.2">
      <c r="A79" s="273" t="s">
        <v>2437</v>
      </c>
      <c r="B79" s="288" t="str">
        <f>IF(I73&lt;&gt;"",I73,"")</f>
        <v/>
      </c>
      <c r="C79" s="281">
        <f ca="1">VLOOKUP(A79,DB_TBL_DATA_FIELDS[[FIELD_ID]:[PCT_CALC_FIELD_STATUS_CODE]],22,FALSE)</f>
        <v>1</v>
      </c>
      <c r="D79" s="281" t="str">
        <f>IF(VLOOKUP(A79,DB_TBL_DATA_FIELDS[[FIELD_ID]:[ERROR_MESSAGE]],23,FALSE)&lt;&gt;0,VLOOKUP(A79,DB_TBL_DATA_FIELDS[[FIELD_ID]:[ERROR_MESSAGE]],23,FALSE),"")</f>
        <v/>
      </c>
      <c r="E79" s="281">
        <f>VLOOKUP(A79,DB_TBL_DATA_FIELDS[[#All],[FIELD_ID]:[RANGE_VALIDATION_MAX]],18,FALSE)</f>
        <v>0</v>
      </c>
      <c r="F79" s="281">
        <f>VLOOKUP(A79,DB_TBL_DATA_FIELDS[[#All],[FIELD_ID]:[RANGE_VALIDATION_MAX]],19,FALSE)</f>
        <v>999999999999</v>
      </c>
      <c r="G79" s="281">
        <f t="shared" ref="G79:G97" ca="1" si="19">IF(C79&lt;0,"",C79)</f>
        <v>1</v>
      </c>
      <c r="H79" s="215"/>
      <c r="I79" s="596"/>
      <c r="J79" s="597"/>
      <c r="K79" s="597"/>
      <c r="L79" s="165">
        <f ca="1">G82</f>
        <v>1</v>
      </c>
      <c r="M79" s="621"/>
      <c r="N79" s="622"/>
      <c r="O79" s="622"/>
      <c r="P79" s="622"/>
      <c r="Q79" s="623"/>
      <c r="R79" s="165" t="str">
        <f ca="1">G83</f>
        <v/>
      </c>
      <c r="S79" s="624"/>
      <c r="T79" s="625"/>
      <c r="U79" s="625"/>
      <c r="V79" s="625"/>
      <c r="W79" s="626"/>
      <c r="X79" s="165" t="str">
        <f ca="1">G84</f>
        <v/>
      </c>
      <c r="Y79" s="215"/>
    </row>
    <row r="80" spans="1:25" ht="21.95" customHeight="1" x14ac:dyDescent="0.2">
      <c r="A80" s="273" t="s">
        <v>2436</v>
      </c>
      <c r="B80" s="288" t="str">
        <f>IF(M73&lt;&gt;"",M73,"")</f>
        <v/>
      </c>
      <c r="C80" s="281">
        <f ca="1">VLOOKUP(A80,DB_TBL_DATA_FIELDS[[FIELD_ID]:[PCT_CALC_FIELD_STATUS_CODE]],22,FALSE)</f>
        <v>-1</v>
      </c>
      <c r="D80" s="281" t="str">
        <f>IF(VLOOKUP(A80,DB_TBL_DATA_FIELDS[[FIELD_ID]:[ERROR_MESSAGE]],23,FALSE)&lt;&gt;0,VLOOKUP(A80,DB_TBL_DATA_FIELDS[[FIELD_ID]:[ERROR_MESSAGE]],23,FALSE),"")</f>
        <v/>
      </c>
      <c r="E80" s="281">
        <f>VLOOKUP(A80,DB_TBL_DATA_FIELDS[[#All],[FIELD_ID]:[RANGE_VALIDATION_MAX]],18,FALSE)</f>
        <v>0</v>
      </c>
      <c r="F80" s="281">
        <f>VLOOKUP(A80,DB_TBL_DATA_FIELDS[[#All],[FIELD_ID]:[RANGE_VALIDATION_MAX]],19,FALSE)</f>
        <v>100</v>
      </c>
      <c r="G80" s="281" t="str">
        <f t="shared" ca="1" si="19"/>
        <v/>
      </c>
      <c r="H80" s="215"/>
      <c r="I80" s="509" t="s">
        <v>3426</v>
      </c>
      <c r="J80" s="510"/>
      <c r="K80" s="510"/>
      <c r="L80" s="510"/>
      <c r="M80" s="510"/>
      <c r="N80" s="510"/>
      <c r="O80" s="510"/>
      <c r="P80" s="510"/>
      <c r="Q80" s="510"/>
      <c r="R80" s="510"/>
      <c r="S80" s="510"/>
      <c r="T80" s="510"/>
      <c r="U80" s="510"/>
      <c r="V80" s="510"/>
      <c r="W80" s="510"/>
      <c r="X80" s="153"/>
      <c r="Y80" s="215"/>
    </row>
    <row r="81" spans="1:25" ht="21.95" customHeight="1" x14ac:dyDescent="0.2">
      <c r="A81" s="273" t="s">
        <v>2438</v>
      </c>
      <c r="B81" s="288" t="str">
        <f>IF(U73&lt;&gt;"",U73,"")</f>
        <v/>
      </c>
      <c r="C81" s="281">
        <f ca="1">VLOOKUP(A81,DB_TBL_DATA_FIELDS[[FIELD_ID]:[PCT_CALC_FIELD_STATUS_CODE]],22,FALSE)</f>
        <v>-1</v>
      </c>
      <c r="D81" s="281" t="str">
        <f>IF(VLOOKUP(A81,DB_TBL_DATA_FIELDS[[FIELD_ID]:[ERROR_MESSAGE]],23,FALSE)&lt;&gt;0,VLOOKUP(A81,DB_TBL_DATA_FIELDS[[FIELD_ID]:[ERROR_MESSAGE]],23,FALSE),"")</f>
        <v/>
      </c>
      <c r="E81" s="281">
        <f>VLOOKUP(A81,DB_TBL_DATA_FIELDS[[#All],[FIELD_ID]:[RANGE_VALIDATION_MAX]],18,FALSE)</f>
        <v>0</v>
      </c>
      <c r="F81" s="281">
        <f>VLOOKUP(A81,DB_TBL_DATA_FIELDS[[#All],[FIELD_ID]:[RANGE_VALIDATION_MAX]],19,FALSE)</f>
        <v>100</v>
      </c>
      <c r="G81" s="281" t="str">
        <f t="shared" ca="1" si="19"/>
        <v/>
      </c>
      <c r="H81" s="215"/>
      <c r="I81" s="510"/>
      <c r="J81" s="510"/>
      <c r="K81" s="510"/>
      <c r="L81" s="510"/>
      <c r="M81" s="510"/>
      <c r="N81" s="510"/>
      <c r="O81" s="510"/>
      <c r="P81" s="510"/>
      <c r="Q81" s="510"/>
      <c r="R81" s="510"/>
      <c r="S81" s="510"/>
      <c r="T81" s="510"/>
      <c r="U81" s="510"/>
      <c r="V81" s="510"/>
      <c r="W81" s="510"/>
      <c r="X81" s="153"/>
      <c r="Y81" s="215"/>
    </row>
    <row r="82" spans="1:25" ht="21.95" customHeight="1" x14ac:dyDescent="0.2">
      <c r="A82" s="273" t="s">
        <v>214</v>
      </c>
      <c r="B82" s="288" t="str">
        <f>IF(I79&lt;&gt;"",I79,"")</f>
        <v/>
      </c>
      <c r="C82" s="281">
        <f ca="1">VLOOKUP(A82,DB_TBL_DATA_FIELDS[[FIELD_ID]:[PCT_CALC_FIELD_STATUS_CODE]],22,FALSE)</f>
        <v>1</v>
      </c>
      <c r="D82" s="281" t="str">
        <f>IF(VLOOKUP(A82,DB_TBL_DATA_FIELDS[[FIELD_ID]:[ERROR_MESSAGE]],23,FALSE)&lt;&gt;0,VLOOKUP(A82,DB_TBL_DATA_FIELDS[[FIELD_ID]:[ERROR_MESSAGE]],23,FALSE),"")</f>
        <v/>
      </c>
      <c r="E82" s="281">
        <f>VLOOKUP(A82,DB_TBL_DATA_FIELDS[[#All],[FIELD_ID]:[RANGE_VALIDATION_MAX]],18,FALSE)</f>
        <v>1</v>
      </c>
      <c r="F82" s="281">
        <f>VLOOKUP(A82,DB_TBL_DATA_FIELDS[[#All],[FIELD_ID]:[RANGE_VALIDATION_MAX]],19,FALSE)</f>
        <v>999999999999</v>
      </c>
      <c r="G82" s="281">
        <f t="shared" ca="1" si="19"/>
        <v>1</v>
      </c>
      <c r="H82" s="215"/>
      <c r="I82" s="510"/>
      <c r="J82" s="510"/>
      <c r="K82" s="510"/>
      <c r="L82" s="510"/>
      <c r="M82" s="510"/>
      <c r="N82" s="510"/>
      <c r="O82" s="510"/>
      <c r="P82" s="510"/>
      <c r="Q82" s="510"/>
      <c r="R82" s="510"/>
      <c r="S82" s="510"/>
      <c r="T82" s="510"/>
      <c r="U82" s="510"/>
      <c r="V82" s="510"/>
      <c r="W82" s="510"/>
      <c r="X82" s="153"/>
      <c r="Y82" s="215"/>
    </row>
    <row r="83" spans="1:25" ht="21.95" customHeight="1" thickBot="1" x14ac:dyDescent="0.25">
      <c r="A83" s="273" t="s">
        <v>2450</v>
      </c>
      <c r="B83" s="288" t="str">
        <f>IF(M79&lt;&gt;"",M79,"")</f>
        <v/>
      </c>
      <c r="C83" s="281">
        <f ca="1">VLOOKUP(A83,DB_TBL_DATA_FIELDS[[FIELD_ID]:[PCT_CALC_FIELD_STATUS_CODE]],22,FALSE)</f>
        <v>-1</v>
      </c>
      <c r="D83" s="281" t="str">
        <f>IF(VLOOKUP(A83,DB_TBL_DATA_FIELDS[[FIELD_ID]:[ERROR_MESSAGE]],23,FALSE)&lt;&gt;0,VLOOKUP(A83,DB_TBL_DATA_FIELDS[[FIELD_ID]:[ERROR_MESSAGE]],23,FALSE),"")</f>
        <v/>
      </c>
      <c r="E83" s="281">
        <f>VLOOKUP(A83,DB_TBL_DATA_FIELDS[[#All],[FIELD_ID]:[RANGE_VALIDATION_MAX]],18,FALSE)</f>
        <v>0</v>
      </c>
      <c r="F83" s="281">
        <f>VLOOKUP(A83,DB_TBL_DATA_FIELDS[[#All],[FIELD_ID]:[RANGE_VALIDATION_MAX]],19,FALSE)</f>
        <v>999</v>
      </c>
      <c r="G83" s="281" t="str">
        <f t="shared" ca="1" si="19"/>
        <v/>
      </c>
      <c r="H83" s="215"/>
      <c r="I83" s="216" t="s">
        <v>3427</v>
      </c>
      <c r="J83" s="217"/>
      <c r="K83" s="218"/>
      <c r="L83" s="217"/>
      <c r="M83" s="218"/>
      <c r="N83" s="217"/>
      <c r="O83" s="218"/>
      <c r="P83" s="217"/>
      <c r="Q83" s="218"/>
      <c r="R83" s="217"/>
      <c r="S83" s="218"/>
      <c r="T83" s="217"/>
      <c r="U83" s="218"/>
      <c r="V83" s="217"/>
      <c r="W83" s="218"/>
      <c r="X83" s="153"/>
      <c r="Y83" s="215"/>
    </row>
    <row r="84" spans="1:25" ht="21.95" customHeight="1" thickTop="1" x14ac:dyDescent="0.2">
      <c r="A84" s="273" t="s">
        <v>215</v>
      </c>
      <c r="B84" s="288" t="str">
        <f>IF(S79&lt;&gt;"",S79,"")</f>
        <v/>
      </c>
      <c r="C84" s="281">
        <f ca="1">VLOOKUP(A84,DB_TBL_DATA_FIELDS[[FIELD_ID]:[PCT_CALC_FIELD_STATUS_CODE]],22,FALSE)</f>
        <v>-1</v>
      </c>
      <c r="D84" s="281" t="str">
        <f>IF(VLOOKUP(A84,DB_TBL_DATA_FIELDS[[FIELD_ID]:[ERROR_MESSAGE]],23,FALSE)&lt;&gt;0,VLOOKUP(A84,DB_TBL_DATA_FIELDS[[FIELD_ID]:[ERROR_MESSAGE]],23,FALSE),"")</f>
        <v/>
      </c>
      <c r="E84" s="281">
        <f>VLOOKUP(A84,DB_TBL_DATA_FIELDS[[#All],[FIELD_ID]:[RANGE_VALIDATION_MAX]],18,FALSE)</f>
        <v>0</v>
      </c>
      <c r="F84" s="281">
        <f>VLOOKUP(A84,DB_TBL_DATA_FIELDS[[#All],[FIELD_ID]:[RANGE_VALIDATION_MAX]],19,FALSE)</f>
        <v>1</v>
      </c>
      <c r="G84" s="281" t="str">
        <f t="shared" ca="1" si="19"/>
        <v/>
      </c>
      <c r="H84" s="215"/>
      <c r="I84" s="499" t="s">
        <v>3428</v>
      </c>
      <c r="J84" s="498"/>
      <c r="K84" s="498"/>
      <c r="L84" s="498"/>
      <c r="M84" s="498"/>
      <c r="N84" s="498"/>
      <c r="O84" s="498"/>
      <c r="P84" s="498"/>
      <c r="Q84" s="498"/>
      <c r="R84" s="498"/>
      <c r="S84" s="498"/>
      <c r="T84" s="498"/>
      <c r="U84" s="498"/>
      <c r="V84" s="498"/>
      <c r="W84" s="498"/>
      <c r="X84" s="153"/>
      <c r="Y84" s="194"/>
    </row>
    <row r="85" spans="1:25" ht="21.95" customHeight="1" x14ac:dyDescent="0.2">
      <c r="A85" s="273" t="s">
        <v>2475</v>
      </c>
      <c r="B85" s="295" t="b">
        <v>0</v>
      </c>
      <c r="C85" s="281" t="str">
        <f ca="1">VLOOKUP(A85,DB_TBL_DATA_FIELDS[[FIELD_ID]:[PCT_CALC_FIELD_STATUS_CODE]],22,FALSE)</f>
        <v/>
      </c>
      <c r="D85" s="281" t="str">
        <f>IF(VLOOKUP(A85,DB_TBL_DATA_FIELDS[[FIELD_ID]:[ERROR_MESSAGE]],23,FALSE)&lt;&gt;0,VLOOKUP(A85,DB_TBL_DATA_FIELDS[[FIELD_ID]:[ERROR_MESSAGE]],23,FALSE),"")</f>
        <v/>
      </c>
      <c r="E85" s="281">
        <f>VLOOKUP(A85,DB_TBL_DATA_FIELDS[[#All],[FIELD_ID]:[RANGE_VALIDATION_MAX]],18,FALSE)</f>
        <v>0</v>
      </c>
      <c r="F85" s="281">
        <f>VLOOKUP(A85,DB_TBL_DATA_FIELDS[[#All],[FIELD_ID]:[RANGE_VALIDATION_MAX]],19,FALSE)</f>
        <v>1</v>
      </c>
      <c r="G85" s="281" t="str">
        <f t="shared" ref="G85:G95" ca="1" si="20">IF(C85&lt;0,"",C85)</f>
        <v/>
      </c>
      <c r="H85" s="215"/>
      <c r="I85" s="215"/>
      <c r="J85" s="153"/>
      <c r="K85" s="215"/>
      <c r="L85" s="153"/>
      <c r="M85" s="215"/>
      <c r="N85" s="165"/>
      <c r="O85" s="215"/>
      <c r="P85" s="153"/>
      <c r="Q85" s="215"/>
      <c r="R85" s="153"/>
      <c r="S85" s="215"/>
      <c r="T85" s="153"/>
      <c r="U85" s="215"/>
      <c r="V85" s="153"/>
      <c r="W85" s="215"/>
      <c r="X85" s="153"/>
      <c r="Y85" s="194"/>
    </row>
    <row r="86" spans="1:25" ht="21.95" customHeight="1" x14ac:dyDescent="0.2">
      <c r="A86" s="273" t="s">
        <v>2476</v>
      </c>
      <c r="B86" s="295" t="b">
        <v>0</v>
      </c>
      <c r="C86" s="281" t="str">
        <f ca="1">VLOOKUP(A86,DB_TBL_DATA_FIELDS[[FIELD_ID]:[PCT_CALC_FIELD_STATUS_CODE]],22,FALSE)</f>
        <v/>
      </c>
      <c r="D86" s="281" t="str">
        <f>IF(VLOOKUP(A86,DB_TBL_DATA_FIELDS[[FIELD_ID]:[ERROR_MESSAGE]],23,FALSE)&lt;&gt;0,VLOOKUP(A86,DB_TBL_DATA_FIELDS[[FIELD_ID]:[ERROR_MESSAGE]],23,FALSE),"")</f>
        <v/>
      </c>
      <c r="E86" s="281">
        <f>VLOOKUP(A86,DB_TBL_DATA_FIELDS[[#All],[FIELD_ID]:[RANGE_VALIDATION_MAX]],18,FALSE)</f>
        <v>0</v>
      </c>
      <c r="F86" s="281">
        <f>VLOOKUP(A86,DB_TBL_DATA_FIELDS[[#All],[FIELD_ID]:[RANGE_VALIDATION_MAX]],19,FALSE)</f>
        <v>1</v>
      </c>
      <c r="G86" s="281" t="str">
        <f t="shared" ca="1" si="20"/>
        <v/>
      </c>
      <c r="H86" s="215"/>
      <c r="I86" s="215"/>
      <c r="J86" s="153"/>
      <c r="K86" s="215"/>
      <c r="L86" s="153"/>
      <c r="M86" s="215"/>
      <c r="N86" s="153"/>
      <c r="O86" s="215"/>
      <c r="P86" s="153"/>
      <c r="Q86" s="215"/>
      <c r="R86" s="153"/>
      <c r="S86" s="215"/>
      <c r="T86" s="153"/>
      <c r="U86" s="215"/>
      <c r="V86" s="153"/>
      <c r="W86" s="215"/>
      <c r="X86" s="153"/>
      <c r="Y86" s="194"/>
    </row>
    <row r="87" spans="1:25" ht="21.95" customHeight="1" x14ac:dyDescent="0.2">
      <c r="A87" s="273" t="s">
        <v>2477</v>
      </c>
      <c r="B87" s="295" t="b">
        <v>0</v>
      </c>
      <c r="C87" s="281" t="str">
        <f ca="1">VLOOKUP(A87,DB_TBL_DATA_FIELDS[[FIELD_ID]:[PCT_CALC_FIELD_STATUS_CODE]],22,FALSE)</f>
        <v/>
      </c>
      <c r="D87" s="281" t="str">
        <f>IF(VLOOKUP(A87,DB_TBL_DATA_FIELDS[[FIELD_ID]:[ERROR_MESSAGE]],23,FALSE)&lt;&gt;0,VLOOKUP(A87,DB_TBL_DATA_FIELDS[[FIELD_ID]:[ERROR_MESSAGE]],23,FALSE),"")</f>
        <v/>
      </c>
      <c r="E87" s="281">
        <f>VLOOKUP(A87,DB_TBL_DATA_FIELDS[[#All],[FIELD_ID]:[RANGE_VALIDATION_MAX]],18,FALSE)</f>
        <v>0</v>
      </c>
      <c r="F87" s="281">
        <f>VLOOKUP(A87,DB_TBL_DATA_FIELDS[[#All],[FIELD_ID]:[RANGE_VALIDATION_MAX]],19,FALSE)</f>
        <v>1</v>
      </c>
      <c r="G87" s="281" t="str">
        <f t="shared" ca="1" si="20"/>
        <v/>
      </c>
      <c r="H87" s="215"/>
      <c r="I87" s="207" t="s">
        <v>3429</v>
      </c>
      <c r="J87" s="153"/>
      <c r="K87" s="215"/>
      <c r="L87" s="153"/>
      <c r="M87" s="215"/>
      <c r="N87" s="153"/>
      <c r="O87" s="215"/>
      <c r="P87" s="153"/>
      <c r="Q87" s="215"/>
      <c r="R87" s="153"/>
      <c r="S87" s="207" t="s">
        <v>3430</v>
      </c>
      <c r="T87" s="153"/>
      <c r="U87" s="215"/>
      <c r="V87" s="153"/>
      <c r="W87" s="215"/>
      <c r="X87" s="153"/>
      <c r="Y87" s="194"/>
    </row>
    <row r="88" spans="1:25" ht="21.95" customHeight="1" x14ac:dyDescent="0.2">
      <c r="A88" s="273" t="s">
        <v>2478</v>
      </c>
      <c r="B88" s="295" t="b">
        <v>0</v>
      </c>
      <c r="C88" s="281" t="str">
        <f ca="1">VLOOKUP(A88,DB_TBL_DATA_FIELDS[[FIELD_ID]:[PCT_CALC_FIELD_STATUS_CODE]],22,FALSE)</f>
        <v/>
      </c>
      <c r="D88" s="281" t="str">
        <f>IF(VLOOKUP(A88,DB_TBL_DATA_FIELDS[[FIELD_ID]:[ERROR_MESSAGE]],23,FALSE)&lt;&gt;0,VLOOKUP(A88,DB_TBL_DATA_FIELDS[[FIELD_ID]:[ERROR_MESSAGE]],23,FALSE),"")</f>
        <v/>
      </c>
      <c r="E88" s="281">
        <f>VLOOKUP(A88,DB_TBL_DATA_FIELDS[[#All],[FIELD_ID]:[RANGE_VALIDATION_MAX]],18,FALSE)</f>
        <v>0</v>
      </c>
      <c r="F88" s="281">
        <f>VLOOKUP(A88,DB_TBL_DATA_FIELDS[[#All],[FIELD_ID]:[RANGE_VALIDATION_MAX]],19,FALSE)</f>
        <v>1</v>
      </c>
      <c r="G88" s="281" t="str">
        <f t="shared" ca="1" si="20"/>
        <v/>
      </c>
      <c r="H88" s="215"/>
      <c r="I88" s="466"/>
      <c r="J88" s="467"/>
      <c r="K88" s="467"/>
      <c r="L88" s="467"/>
      <c r="M88" s="467"/>
      <c r="N88" s="467"/>
      <c r="O88" s="467"/>
      <c r="P88" s="467"/>
      <c r="Q88" s="468"/>
      <c r="R88" s="165" t="str">
        <f ca="1">G97</f>
        <v/>
      </c>
      <c r="S88" s="570"/>
      <c r="T88" s="571"/>
      <c r="U88" s="571"/>
      <c r="V88" s="571"/>
      <c r="W88" s="572"/>
      <c r="X88" s="165" t="str">
        <f ca="1">G96</f>
        <v/>
      </c>
      <c r="Y88" s="194"/>
    </row>
    <row r="89" spans="1:25" ht="21.95" customHeight="1" x14ac:dyDescent="0.2">
      <c r="A89" s="273" t="s">
        <v>2479</v>
      </c>
      <c r="B89" s="295" t="b">
        <v>0</v>
      </c>
      <c r="C89" s="281" t="str">
        <f ca="1">VLOOKUP(A89,DB_TBL_DATA_FIELDS[[FIELD_ID]:[PCT_CALC_FIELD_STATUS_CODE]],22,FALSE)</f>
        <v/>
      </c>
      <c r="D89" s="281" t="str">
        <f>IF(VLOOKUP(A89,DB_TBL_DATA_FIELDS[[FIELD_ID]:[ERROR_MESSAGE]],23,FALSE)&lt;&gt;0,VLOOKUP(A89,DB_TBL_DATA_FIELDS[[FIELD_ID]:[ERROR_MESSAGE]],23,FALSE),"")</f>
        <v/>
      </c>
      <c r="E89" s="281">
        <f>VLOOKUP(A89,DB_TBL_DATA_FIELDS[[#All],[FIELD_ID]:[RANGE_VALIDATION_MAX]],18,FALSE)</f>
        <v>0</v>
      </c>
      <c r="F89" s="281">
        <f>VLOOKUP(A89,DB_TBL_DATA_FIELDS[[#All],[FIELD_ID]:[RANGE_VALIDATION_MAX]],19,FALSE)</f>
        <v>1</v>
      </c>
      <c r="G89" s="281" t="str">
        <f t="shared" ca="1" si="20"/>
        <v/>
      </c>
      <c r="H89" s="215"/>
      <c r="I89" s="651" t="s">
        <v>3595</v>
      </c>
      <c r="J89" s="651"/>
      <c r="K89" s="651"/>
      <c r="L89" s="651"/>
      <c r="M89" s="651"/>
      <c r="N89" s="651"/>
      <c r="O89" s="651"/>
      <c r="P89" s="651"/>
      <c r="Q89" s="651"/>
      <c r="R89" s="651"/>
      <c r="S89" s="651"/>
      <c r="T89" s="651"/>
      <c r="U89" s="651"/>
      <c r="V89" s="651"/>
      <c r="W89" s="651"/>
      <c r="X89" s="190"/>
      <c r="Y89" s="194"/>
    </row>
    <row r="90" spans="1:25" ht="21.95" customHeight="1" x14ac:dyDescent="0.2">
      <c r="A90" s="273" t="s">
        <v>2480</v>
      </c>
      <c r="B90" s="295" t="b">
        <v>0</v>
      </c>
      <c r="C90" s="281" t="str">
        <f ca="1">VLOOKUP(A90,DB_TBL_DATA_FIELDS[[FIELD_ID]:[PCT_CALC_FIELD_STATUS_CODE]],22,FALSE)</f>
        <v/>
      </c>
      <c r="D90" s="281" t="str">
        <f>IF(VLOOKUP(A90,DB_TBL_DATA_FIELDS[[FIELD_ID]:[ERROR_MESSAGE]],23,FALSE)&lt;&gt;0,VLOOKUP(A90,DB_TBL_DATA_FIELDS[[FIELD_ID]:[ERROR_MESSAGE]],23,FALSE),"")</f>
        <v/>
      </c>
      <c r="E90" s="281">
        <f>VLOOKUP(A90,DB_TBL_DATA_FIELDS[[#All],[FIELD_ID]:[RANGE_VALIDATION_MAX]],18,FALSE)</f>
        <v>0</v>
      </c>
      <c r="F90" s="281">
        <f>VLOOKUP(A90,DB_TBL_DATA_FIELDS[[#All],[FIELD_ID]:[RANGE_VALIDATION_MAX]],19,FALSE)</f>
        <v>1</v>
      </c>
      <c r="G90" s="281" t="str">
        <f t="shared" ca="1" si="20"/>
        <v/>
      </c>
      <c r="H90" s="215"/>
      <c r="I90" s="651"/>
      <c r="J90" s="651"/>
      <c r="K90" s="651"/>
      <c r="L90" s="651"/>
      <c r="M90" s="651"/>
      <c r="N90" s="651"/>
      <c r="O90" s="651"/>
      <c r="P90" s="651"/>
      <c r="Q90" s="651"/>
      <c r="R90" s="651"/>
      <c r="S90" s="651"/>
      <c r="T90" s="651"/>
      <c r="U90" s="651"/>
      <c r="V90" s="651"/>
      <c r="W90" s="651"/>
      <c r="X90" s="190"/>
      <c r="Y90" s="194"/>
    </row>
    <row r="91" spans="1:25" ht="21.95" customHeight="1" x14ac:dyDescent="0.2">
      <c r="A91" s="273" t="s">
        <v>2481</v>
      </c>
      <c r="B91" s="295" t="b">
        <v>0</v>
      </c>
      <c r="C91" s="281" t="str">
        <f ca="1">VLOOKUP(A91,DB_TBL_DATA_FIELDS[[FIELD_ID]:[PCT_CALC_FIELD_STATUS_CODE]],22,FALSE)</f>
        <v/>
      </c>
      <c r="D91" s="281" t="str">
        <f>IF(VLOOKUP(A91,DB_TBL_DATA_FIELDS[[FIELD_ID]:[ERROR_MESSAGE]],23,FALSE)&lt;&gt;0,VLOOKUP(A91,DB_TBL_DATA_FIELDS[[FIELD_ID]:[ERROR_MESSAGE]],23,FALSE),"")</f>
        <v/>
      </c>
      <c r="E91" s="281">
        <f>VLOOKUP(A91,DB_TBL_DATA_FIELDS[[#All],[FIELD_ID]:[RANGE_VALIDATION_MAX]],18,FALSE)</f>
        <v>0</v>
      </c>
      <c r="F91" s="281">
        <f>VLOOKUP(A91,DB_TBL_DATA_FIELDS[[#All],[FIELD_ID]:[RANGE_VALIDATION_MAX]],19,FALSE)</f>
        <v>1</v>
      </c>
      <c r="G91" s="281" t="str">
        <f t="shared" ca="1" si="20"/>
        <v/>
      </c>
      <c r="H91" s="215"/>
      <c r="I91" s="215"/>
      <c r="J91" s="153"/>
      <c r="K91" s="215"/>
      <c r="L91" s="153"/>
      <c r="M91" s="215"/>
      <c r="N91" s="153"/>
      <c r="O91" s="215"/>
      <c r="P91" s="153"/>
      <c r="Q91" s="215"/>
      <c r="R91" s="153"/>
      <c r="S91" s="215"/>
      <c r="T91" s="153"/>
      <c r="U91" s="215"/>
      <c r="V91" s="153"/>
      <c r="W91" s="215"/>
      <c r="X91" s="153"/>
      <c r="Y91" s="194"/>
    </row>
    <row r="92" spans="1:25" ht="21.95" customHeight="1" thickBot="1" x14ac:dyDescent="0.25">
      <c r="A92" s="273" t="s">
        <v>2482</v>
      </c>
      <c r="B92" s="295" t="b">
        <v>0</v>
      </c>
      <c r="C92" s="281" t="str">
        <f ca="1">VLOOKUP(A92,DB_TBL_DATA_FIELDS[[FIELD_ID]:[PCT_CALC_FIELD_STATUS_CODE]],22,FALSE)</f>
        <v/>
      </c>
      <c r="D92" s="281" t="str">
        <f>IF(VLOOKUP(A92,DB_TBL_DATA_FIELDS[[FIELD_ID]:[ERROR_MESSAGE]],23,FALSE)&lt;&gt;0,VLOOKUP(A92,DB_TBL_DATA_FIELDS[[FIELD_ID]:[ERROR_MESSAGE]],23,FALSE),"")</f>
        <v/>
      </c>
      <c r="E92" s="281">
        <f>VLOOKUP(A92,DB_TBL_DATA_FIELDS[[#All],[FIELD_ID]:[RANGE_VALIDATION_MAX]],18,FALSE)</f>
        <v>0</v>
      </c>
      <c r="F92" s="281">
        <f>VLOOKUP(A92,DB_TBL_DATA_FIELDS[[#All],[FIELD_ID]:[RANGE_VALIDATION_MAX]],19,FALSE)</f>
        <v>1</v>
      </c>
      <c r="G92" s="281" t="str">
        <f t="shared" ca="1" si="20"/>
        <v/>
      </c>
      <c r="H92" s="215"/>
      <c r="I92" s="143" t="str">
        <f>B108</f>
        <v>Application Webinars and Technical Assistance</v>
      </c>
      <c r="J92" s="269"/>
      <c r="K92" s="269"/>
      <c r="L92" s="269"/>
      <c r="M92" s="269"/>
      <c r="N92" s="269"/>
      <c r="O92" s="269"/>
      <c r="P92" s="269"/>
      <c r="Q92" s="269"/>
      <c r="R92" s="269"/>
      <c r="S92" s="269"/>
      <c r="T92" s="269"/>
      <c r="U92" s="269"/>
      <c r="V92" s="269"/>
      <c r="W92" s="269"/>
      <c r="X92" s="167" t="str">
        <f ca="1">"Status: "&amp;$B$120</f>
        <v>Status: Not Started</v>
      </c>
      <c r="Y92" s="194"/>
    </row>
    <row r="93" spans="1:25" ht="21.95" customHeight="1" x14ac:dyDescent="0.2">
      <c r="A93" s="273" t="s">
        <v>2483</v>
      </c>
      <c r="B93" s="295" t="b">
        <v>0</v>
      </c>
      <c r="C93" s="281" t="str">
        <f ca="1">VLOOKUP(A93,DB_TBL_DATA_FIELDS[[FIELD_ID]:[PCT_CALC_FIELD_STATUS_CODE]],22,FALSE)</f>
        <v/>
      </c>
      <c r="D93" s="281" t="str">
        <f>IF(VLOOKUP(A93,DB_TBL_DATA_FIELDS[[FIELD_ID]:[ERROR_MESSAGE]],23,FALSE)&lt;&gt;0,VLOOKUP(A93,DB_TBL_DATA_FIELDS[[FIELD_ID]:[ERROR_MESSAGE]],23,FALSE),"")</f>
        <v/>
      </c>
      <c r="E93" s="281">
        <f>VLOOKUP(A93,DB_TBL_DATA_FIELDS[[#All],[FIELD_ID]:[RANGE_VALIDATION_MAX]],18,FALSE)</f>
        <v>0</v>
      </c>
      <c r="F93" s="281">
        <f>VLOOKUP(A93,DB_TBL_DATA_FIELDS[[#All],[FIELD_ID]:[RANGE_VALIDATION_MAX]],19,FALSE)</f>
        <v>1</v>
      </c>
      <c r="G93" s="281" t="str">
        <f t="shared" ca="1" si="20"/>
        <v/>
      </c>
      <c r="H93" s="215"/>
      <c r="I93" s="191"/>
      <c r="J93" s="191"/>
      <c r="K93" s="191"/>
      <c r="L93" s="191"/>
      <c r="M93" s="191"/>
      <c r="N93" s="191"/>
      <c r="O93" s="191"/>
      <c r="P93" s="153"/>
      <c r="Q93" s="194"/>
      <c r="R93" s="153"/>
      <c r="S93" s="194"/>
      <c r="T93" s="153"/>
      <c r="U93" s="194"/>
      <c r="V93" s="153"/>
      <c r="W93" s="194"/>
      <c r="X93" s="153"/>
      <c r="Y93" s="194"/>
    </row>
    <row r="94" spans="1:25" ht="21.95" customHeight="1" x14ac:dyDescent="0.2">
      <c r="A94" s="273" t="s">
        <v>2484</v>
      </c>
      <c r="B94" s="295" t="b">
        <v>0</v>
      </c>
      <c r="C94" s="281" t="str">
        <f ca="1">VLOOKUP(A94,DB_TBL_DATA_FIELDS[[FIELD_ID]:[PCT_CALC_FIELD_STATUS_CODE]],22,FALSE)</f>
        <v/>
      </c>
      <c r="D94" s="281" t="str">
        <f>IF(VLOOKUP(A94,DB_TBL_DATA_FIELDS[[FIELD_ID]:[ERROR_MESSAGE]],23,FALSE)&lt;&gt;0,VLOOKUP(A94,DB_TBL_DATA_FIELDS[[FIELD_ID]:[ERROR_MESSAGE]],23,FALSE),"")</f>
        <v/>
      </c>
      <c r="E94" s="281">
        <f>VLOOKUP(A94,DB_TBL_DATA_FIELDS[[#All],[FIELD_ID]:[RANGE_VALIDATION_MAX]],18,FALSE)</f>
        <v>0</v>
      </c>
      <c r="F94" s="281">
        <f>VLOOKUP(A94,DB_TBL_DATA_FIELDS[[#All],[FIELD_ID]:[RANGE_VALIDATION_MAX]],19,FALSE)</f>
        <v>1</v>
      </c>
      <c r="G94" s="281" t="str">
        <f t="shared" ca="1" si="20"/>
        <v/>
      </c>
      <c r="H94" s="215"/>
      <c r="I94" s="191"/>
      <c r="J94" s="191"/>
      <c r="K94" s="191"/>
      <c r="L94" s="191"/>
      <c r="M94" s="191"/>
      <c r="N94" s="191"/>
      <c r="O94" s="191"/>
      <c r="P94" s="153"/>
      <c r="Q94" s="194"/>
      <c r="R94" s="153"/>
      <c r="S94" s="194"/>
      <c r="T94" s="153"/>
      <c r="U94" s="194"/>
      <c r="V94" s="153"/>
      <c r="W94" s="194"/>
      <c r="X94" s="153"/>
      <c r="Y94" s="194"/>
    </row>
    <row r="95" spans="1:25" ht="21.95" customHeight="1" x14ac:dyDescent="0.2">
      <c r="A95" s="273" t="s">
        <v>2485</v>
      </c>
      <c r="B95" s="282" t="str">
        <f ca="1">VLOOKUP(A95,DB_TBL_DATA_FIELDS[[FIELD_ID]:[FIELD_VALUE_RAW]],5,FALSE)</f>
        <v/>
      </c>
      <c r="C95" s="281">
        <f ca="1">VLOOKUP(A95,DB_TBL_DATA_FIELDS[[FIELD_ID]:[PCT_CALC_FIELD_STATUS_CODE]],22,FALSE)</f>
        <v>-1</v>
      </c>
      <c r="D95" s="281" t="str">
        <f>IF(VLOOKUP(A95,DB_TBL_DATA_FIELDS[[FIELD_ID]:[ERROR_MESSAGE]],23,FALSE)&lt;&gt;0,VLOOKUP(A95,DB_TBL_DATA_FIELDS[[FIELD_ID]:[ERROR_MESSAGE]],23,FALSE),"")</f>
        <v/>
      </c>
      <c r="E95" s="281">
        <f>VLOOKUP(A95,DB_TBL_DATA_FIELDS[[#All],[FIELD_ID]:[RANGE_VALIDATION_MAX]],18,FALSE)</f>
        <v>0</v>
      </c>
      <c r="F95" s="281">
        <f>VLOOKUP(A95,DB_TBL_DATA_FIELDS[[#All],[FIELD_ID]:[RANGE_VALIDATION_MAX]],19,FALSE)</f>
        <v>100</v>
      </c>
      <c r="G95" s="281" t="str">
        <f t="shared" ca="1" si="20"/>
        <v/>
      </c>
      <c r="H95" s="215"/>
      <c r="I95" s="499" t="s">
        <v>2513</v>
      </c>
      <c r="J95" s="499"/>
      <c r="K95" s="499"/>
      <c r="L95" s="499"/>
      <c r="M95" s="499"/>
      <c r="N95" s="499"/>
      <c r="O95" s="499"/>
      <c r="P95" s="499"/>
      <c r="Q95" s="499"/>
      <c r="R95" s="499"/>
      <c r="S95" s="499"/>
      <c r="T95" s="499"/>
      <c r="U95" s="499"/>
      <c r="V95" s="153"/>
      <c r="W95" s="212"/>
      <c r="X95" s="165">
        <f ca="1">G109</f>
        <v>1</v>
      </c>
      <c r="Y95" s="194"/>
    </row>
    <row r="96" spans="1:25" ht="21.95" customHeight="1" x14ac:dyDescent="0.2">
      <c r="A96" s="273" t="s">
        <v>2454</v>
      </c>
      <c r="B96" s="288" t="str">
        <f>IF(S88&lt;&gt;"",S88,"")</f>
        <v/>
      </c>
      <c r="C96" s="281">
        <f ca="1">VLOOKUP(A96,DB_TBL_DATA_FIELDS[[FIELD_ID]:[PCT_CALC_FIELD_STATUS_CODE]],22,FALSE)</f>
        <v>-1</v>
      </c>
      <c r="D96" s="281" t="str">
        <f>IF(VLOOKUP(A96,DB_TBL_DATA_FIELDS[[FIELD_ID]:[ERROR_MESSAGE]],23,FALSE)&lt;&gt;0,VLOOKUP(A96,DB_TBL_DATA_FIELDS[[FIELD_ID]:[ERROR_MESSAGE]],23,FALSE),"")</f>
        <v/>
      </c>
      <c r="E96" s="281">
        <f>VLOOKUP(A96,DB_TBL_DATA_FIELDS[[#All],[FIELD_ID]:[RANGE_VALIDATION_MAX]],18,FALSE)</f>
        <v>1</v>
      </c>
      <c r="F96" s="281">
        <f>VLOOKUP(A96,DB_TBL_DATA_FIELDS[[#All],[FIELD_ID]:[RANGE_VALIDATION_MAX]],19,FALSE)</f>
        <v>999999999999</v>
      </c>
      <c r="G96" s="281" t="str">
        <f t="shared" ca="1" si="19"/>
        <v/>
      </c>
      <c r="H96" s="215"/>
      <c r="I96" s="148"/>
      <c r="J96" s="148"/>
      <c r="K96" s="148"/>
      <c r="L96" s="148"/>
      <c r="M96" s="148"/>
      <c r="N96" s="148"/>
      <c r="O96" s="148"/>
      <c r="P96" s="148"/>
      <c r="Q96" s="148"/>
      <c r="R96" s="148"/>
      <c r="S96" s="148"/>
      <c r="T96" s="148"/>
      <c r="U96" s="148"/>
      <c r="V96" s="153"/>
      <c r="W96" s="194"/>
      <c r="X96" s="153"/>
      <c r="Y96" s="194"/>
    </row>
    <row r="97" spans="1:25" ht="21.95" customHeight="1" x14ac:dyDescent="0.2">
      <c r="A97" s="273" t="s">
        <v>2455</v>
      </c>
      <c r="B97" s="288" t="str">
        <f>IF(I88&lt;&gt;"",I88,"")</f>
        <v/>
      </c>
      <c r="C97" s="281">
        <f ca="1">VLOOKUP(A97,DB_TBL_DATA_FIELDS[[FIELD_ID]:[PCT_CALC_FIELD_STATUS_CODE]],22,FALSE)</f>
        <v>-1</v>
      </c>
      <c r="D97" s="281" t="str">
        <f>IF(VLOOKUP(A97,DB_TBL_DATA_FIELDS[[FIELD_ID]:[ERROR_MESSAGE]],23,FALSE)&lt;&gt;0,VLOOKUP(A97,DB_TBL_DATA_FIELDS[[FIELD_ID]:[ERROR_MESSAGE]],23,FALSE),"")</f>
        <v/>
      </c>
      <c r="E97" s="281">
        <f>VLOOKUP(A97,DB_TBL_DATA_FIELDS[[#All],[FIELD_ID]:[RANGE_VALIDATION_MAX]],18,FALSE)</f>
        <v>0</v>
      </c>
      <c r="F97" s="281">
        <f>VLOOKUP(A97,DB_TBL_DATA_FIELDS[[#All],[FIELD_ID]:[RANGE_VALIDATION_MAX]],19,FALSE)</f>
        <v>100</v>
      </c>
      <c r="G97" s="281" t="str">
        <f t="shared" ca="1" si="19"/>
        <v/>
      </c>
      <c r="H97" s="215"/>
      <c r="I97" s="499" t="s">
        <v>2514</v>
      </c>
      <c r="J97" s="499"/>
      <c r="K97" s="499"/>
      <c r="L97" s="499"/>
      <c r="M97" s="499"/>
      <c r="N97" s="499"/>
      <c r="O97" s="499"/>
      <c r="P97" s="499"/>
      <c r="Q97" s="499"/>
      <c r="R97" s="499"/>
      <c r="S97" s="499"/>
      <c r="T97" s="499"/>
      <c r="U97" s="499"/>
      <c r="V97" s="153"/>
      <c r="W97" s="212"/>
      <c r="X97" s="165">
        <f ca="1">G110</f>
        <v>1</v>
      </c>
      <c r="Y97" s="194"/>
    </row>
    <row r="98" spans="1:25" ht="21.95" customHeight="1" x14ac:dyDescent="0.2">
      <c r="A98" s="290" t="s">
        <v>233</v>
      </c>
      <c r="B98" s="282" t="str">
        <f>"C"&amp;MATCH(LEFT(A98,LEN(A98)-LEN("_RANGE")),A:A,0)+1&amp;":C"&amp;(ROW()-1)</f>
        <v>C78:C97</v>
      </c>
      <c r="C98" s="281"/>
      <c r="D98" s="281"/>
      <c r="E98" s="281"/>
      <c r="F98" s="281"/>
      <c r="G98" s="281"/>
      <c r="H98" s="215"/>
      <c r="I98" s="148"/>
      <c r="J98" s="148"/>
      <c r="K98" s="148"/>
      <c r="L98" s="148"/>
      <c r="M98" s="148"/>
      <c r="N98" s="148"/>
      <c r="O98" s="148"/>
      <c r="P98" s="148"/>
      <c r="Q98" s="148"/>
      <c r="R98" s="148"/>
      <c r="S98" s="148"/>
      <c r="T98" s="148"/>
      <c r="U98" s="148"/>
      <c r="V98" s="153"/>
      <c r="W98" s="194"/>
      <c r="X98" s="153"/>
      <c r="Y98" s="194"/>
    </row>
    <row r="99" spans="1:25" ht="21.95" customHeight="1" x14ac:dyDescent="0.2">
      <c r="A99" s="290" t="s">
        <v>234</v>
      </c>
      <c r="B99" s="282">
        <f ca="1">COUNTIF(INDIRECT($B98),2)</f>
        <v>0</v>
      </c>
      <c r="C99" s="281"/>
      <c r="D99" s="281"/>
      <c r="E99" s="281"/>
      <c r="F99" s="281"/>
      <c r="G99" s="281"/>
      <c r="H99" s="215"/>
      <c r="I99" s="499" t="s">
        <v>3431</v>
      </c>
      <c r="J99" s="498"/>
      <c r="K99" s="498"/>
      <c r="L99" s="498"/>
      <c r="M99" s="498"/>
      <c r="N99" s="498"/>
      <c r="O99" s="498"/>
      <c r="P99" s="498"/>
      <c r="Q99" s="498"/>
      <c r="R99" s="498"/>
      <c r="S99" s="498"/>
      <c r="T99" s="498"/>
      <c r="U99" s="498"/>
      <c r="V99" s="153"/>
      <c r="W99" s="220"/>
      <c r="X99" s="165">
        <f ca="1">G111</f>
        <v>1</v>
      </c>
      <c r="Y99" s="194"/>
    </row>
    <row r="100" spans="1:25" ht="21.95" customHeight="1" x14ac:dyDescent="0.2">
      <c r="A100" s="290" t="s">
        <v>235</v>
      </c>
      <c r="B100" s="282">
        <f ca="1">COUNTIF(INDIRECT($B98),0)+COUNTIF(INDIRECT($B98),1)+COUNTIF(INDIRECT($B98),2)</f>
        <v>3</v>
      </c>
      <c r="C100" s="281"/>
      <c r="D100" s="281"/>
      <c r="E100" s="281"/>
      <c r="F100" s="281"/>
      <c r="G100" s="281"/>
      <c r="H100" s="215"/>
      <c r="I100" s="221" t="s">
        <v>3483</v>
      </c>
      <c r="J100" s="153"/>
      <c r="K100" s="215"/>
      <c r="L100" s="153"/>
      <c r="M100" s="215"/>
      <c r="N100" s="153"/>
      <c r="O100" s="215"/>
      <c r="P100" s="153"/>
      <c r="Q100" s="215"/>
      <c r="R100" s="153"/>
      <c r="S100" s="608"/>
      <c r="T100" s="609"/>
      <c r="U100" s="609"/>
      <c r="V100" s="609"/>
      <c r="W100" s="610"/>
      <c r="X100" s="165" t="str">
        <f ca="1">G112</f>
        <v/>
      </c>
      <c r="Y100" s="194"/>
    </row>
    <row r="101" spans="1:25" ht="21.95" customHeight="1" x14ac:dyDescent="0.2">
      <c r="A101" s="290" t="s">
        <v>236</v>
      </c>
      <c r="B101" s="282">
        <f ca="1">COUNTIF(INDIRECT($B98),0)</f>
        <v>0</v>
      </c>
      <c r="C101" s="281" t="s">
        <v>2607</v>
      </c>
      <c r="D101" s="281"/>
      <c r="E101" s="281"/>
      <c r="F101" s="281"/>
      <c r="G101" s="281"/>
      <c r="H101" s="215"/>
      <c r="I101" s="221" t="s">
        <v>3484</v>
      </c>
      <c r="J101" s="153"/>
      <c r="K101" s="215"/>
      <c r="L101" s="153"/>
      <c r="M101" s="215"/>
      <c r="N101" s="153"/>
      <c r="O101" s="215"/>
      <c r="P101" s="153"/>
      <c r="Q101" s="215"/>
      <c r="R101" s="153"/>
      <c r="S101" s="611"/>
      <c r="T101" s="612"/>
      <c r="U101" s="612"/>
      <c r="V101" s="612"/>
      <c r="W101" s="613"/>
      <c r="X101" s="165" t="str">
        <f ca="1">G113</f>
        <v/>
      </c>
      <c r="Y101" s="194"/>
    </row>
    <row r="102" spans="1:25" ht="21.95" customHeight="1" x14ac:dyDescent="0.2">
      <c r="A102" s="290" t="s">
        <v>237</v>
      </c>
      <c r="B102" s="291">
        <f ca="1">IFERROR(B99/B100,1.01)</f>
        <v>0</v>
      </c>
      <c r="C102" s="281"/>
      <c r="D102" s="281"/>
      <c r="E102" s="281"/>
      <c r="F102" s="281"/>
      <c r="G102" s="281"/>
      <c r="H102" s="215"/>
      <c r="I102" s="191"/>
      <c r="J102" s="191"/>
      <c r="K102" s="191"/>
      <c r="L102" s="191"/>
      <c r="M102" s="191"/>
      <c r="N102" s="191"/>
      <c r="O102" s="191"/>
      <c r="P102" s="153"/>
      <c r="Q102" s="194"/>
      <c r="R102" s="153"/>
      <c r="S102" s="194"/>
      <c r="T102" s="153"/>
      <c r="U102" s="194"/>
      <c r="V102" s="153"/>
      <c r="W102" s="194"/>
      <c r="X102" s="153"/>
      <c r="Y102" s="194"/>
    </row>
    <row r="103" spans="1:25" ht="21.95" customHeight="1" x14ac:dyDescent="0.2">
      <c r="A103" s="290" t="s">
        <v>238</v>
      </c>
      <c r="B103" s="292" t="str">
        <f ca="1">IF(B101&gt;0,"Data Error(s)",IF(B102=0,"Not Started",IF(B102&lt;1,ROUNDUP(B102*100,0)&amp;"% Done",IF(B102&gt;1,"Optional","Complete"))))</f>
        <v>Not Started</v>
      </c>
      <c r="C103" s="281"/>
      <c r="D103" s="281"/>
      <c r="E103" s="281"/>
      <c r="F103" s="281"/>
      <c r="G103" s="281"/>
      <c r="H103" s="215"/>
      <c r="I103" s="563" t="s">
        <v>3432</v>
      </c>
      <c r="J103" s="614"/>
      <c r="K103" s="614"/>
      <c r="L103" s="614"/>
      <c r="M103" s="614"/>
      <c r="N103" s="614"/>
      <c r="O103" s="614"/>
      <c r="P103" s="614"/>
      <c r="Q103" s="614"/>
      <c r="R103" s="614"/>
      <c r="S103" s="614"/>
      <c r="T103" s="614"/>
      <c r="U103" s="614"/>
      <c r="V103" s="153"/>
      <c r="W103" s="212"/>
      <c r="X103" s="165">
        <f ca="1">G114</f>
        <v>1</v>
      </c>
      <c r="Y103" s="194"/>
    </row>
    <row r="104" spans="1:25" ht="21.95" customHeight="1" x14ac:dyDescent="0.2">
      <c r="A104" s="290" t="s">
        <v>239</v>
      </c>
      <c r="B104" s="282" t="str">
        <f ca="1">IF(B101&gt;0,0,IF(B102&lt;1,"",2))</f>
        <v/>
      </c>
      <c r="C104" s="281"/>
      <c r="D104" s="281"/>
      <c r="E104" s="281"/>
      <c r="F104" s="281"/>
      <c r="G104" s="281"/>
      <c r="H104" s="215"/>
      <c r="I104" s="614"/>
      <c r="J104" s="614"/>
      <c r="K104" s="614"/>
      <c r="L104" s="614"/>
      <c r="M104" s="614"/>
      <c r="N104" s="614"/>
      <c r="O104" s="614"/>
      <c r="P104" s="614"/>
      <c r="Q104" s="614"/>
      <c r="R104" s="614"/>
      <c r="S104" s="614"/>
      <c r="T104" s="614"/>
      <c r="U104" s="614"/>
      <c r="V104" s="153"/>
      <c r="W104" s="194"/>
      <c r="X104" s="153"/>
      <c r="Y104" s="194"/>
    </row>
    <row r="105" spans="1:25" ht="21.95" customHeight="1" x14ac:dyDescent="0.2">
      <c r="A105" s="290" t="s">
        <v>240</v>
      </c>
      <c r="B105" s="293" t="s">
        <v>287</v>
      </c>
      <c r="C105" s="281"/>
      <c r="D105" s="281"/>
      <c r="E105" s="281"/>
      <c r="F105" s="281"/>
      <c r="G105" s="281"/>
      <c r="H105" s="215"/>
      <c r="I105" s="191"/>
      <c r="J105" s="191"/>
      <c r="K105" s="191"/>
      <c r="L105" s="191"/>
      <c r="M105" s="191"/>
      <c r="N105" s="191"/>
      <c r="O105" s="191"/>
      <c r="P105" s="153"/>
      <c r="Q105" s="194"/>
      <c r="R105" s="153"/>
      <c r="S105" s="194"/>
      <c r="T105" s="153"/>
      <c r="U105" s="194"/>
      <c r="V105" s="153"/>
      <c r="W105" s="194"/>
      <c r="X105" s="153"/>
      <c r="Y105" s="194"/>
    </row>
    <row r="106" spans="1:25" ht="21.95" customHeight="1" thickBot="1" x14ac:dyDescent="0.25">
      <c r="A106" s="294" t="s">
        <v>2362</v>
      </c>
      <c r="B106" s="282">
        <v>0</v>
      </c>
      <c r="C106" s="281" t="s">
        <v>2462</v>
      </c>
      <c r="D106" s="281"/>
      <c r="E106" s="281"/>
      <c r="F106" s="281"/>
      <c r="G106" s="281"/>
      <c r="H106" s="215"/>
      <c r="I106" s="424" t="str">
        <f>B125</f>
        <v>Project Type and Characteristics</v>
      </c>
      <c r="J106" s="269"/>
      <c r="K106" s="269"/>
      <c r="L106" s="269"/>
      <c r="M106" s="269"/>
      <c r="N106" s="269"/>
      <c r="O106" s="269"/>
      <c r="P106" s="269"/>
      <c r="Q106" s="269"/>
      <c r="R106" s="269"/>
      <c r="S106" s="269"/>
      <c r="T106" s="269"/>
      <c r="U106" s="269"/>
      <c r="V106" s="269"/>
      <c r="W106" s="269"/>
      <c r="X106" s="167" t="str">
        <f ca="1">"Status: "&amp;$B$169</f>
        <v>Status: Not Started</v>
      </c>
      <c r="Y106" s="194"/>
    </row>
    <row r="107" spans="1:25" ht="21.95" customHeight="1" x14ac:dyDescent="0.2">
      <c r="A107" s="294" t="s">
        <v>2363</v>
      </c>
      <c r="B107" s="282" t="b">
        <f>(B106&gt;0)</f>
        <v>0</v>
      </c>
      <c r="C107" s="281"/>
      <c r="D107" s="281"/>
      <c r="E107" s="281"/>
      <c r="F107" s="281"/>
      <c r="G107" s="281"/>
      <c r="H107" s="215"/>
      <c r="I107" s="191"/>
      <c r="J107" s="191"/>
      <c r="K107" s="191"/>
      <c r="L107" s="191"/>
      <c r="M107" s="191"/>
      <c r="N107" s="191"/>
      <c r="O107" s="191"/>
      <c r="P107" s="153"/>
      <c r="Q107" s="194"/>
      <c r="R107" s="153"/>
      <c r="S107" s="194"/>
      <c r="T107" s="153"/>
      <c r="U107" s="194"/>
      <c r="V107" s="153"/>
      <c r="W107" s="194"/>
      <c r="X107" s="153"/>
      <c r="Y107" s="194"/>
    </row>
    <row r="108" spans="1:25" ht="21.95" customHeight="1" thickBot="1" x14ac:dyDescent="0.25">
      <c r="A108" s="285" t="s">
        <v>245</v>
      </c>
      <c r="B108" s="305" t="s">
        <v>2512</v>
      </c>
      <c r="C108" s="287"/>
      <c r="D108" s="287"/>
      <c r="E108" s="287"/>
      <c r="F108" s="287"/>
      <c r="G108" s="172" t="str">
        <f>B122</f>
        <v>Webinars &amp; Technical Assistance</v>
      </c>
      <c r="H108" s="215"/>
      <c r="I108" s="216" t="s">
        <v>274</v>
      </c>
      <c r="J108" s="222"/>
      <c r="K108" s="222"/>
      <c r="L108" s="222"/>
      <c r="M108" s="222"/>
      <c r="N108" s="222"/>
      <c r="O108" s="222"/>
      <c r="P108" s="217"/>
      <c r="Q108" s="223"/>
      <c r="R108" s="217"/>
      <c r="S108" s="223"/>
      <c r="T108" s="217"/>
      <c r="U108" s="223"/>
      <c r="V108" s="217"/>
      <c r="W108" s="223"/>
      <c r="X108" s="153"/>
      <c r="Y108" s="194"/>
    </row>
    <row r="109" spans="1:25" ht="21.95" customHeight="1" thickTop="1" x14ac:dyDescent="0.2">
      <c r="A109" s="273" t="s">
        <v>2524</v>
      </c>
      <c r="B109" s="288" t="str">
        <f>IF(W95="","",IF(UPPER(W95)="YES",TRUE,FALSE))</f>
        <v/>
      </c>
      <c r="C109" s="281">
        <f ca="1">VLOOKUP(A109,DB_TBL_DATA_FIELDS[[FIELD_ID]:[PCT_CALC_FIELD_STATUS_CODE]],22,FALSE)</f>
        <v>1</v>
      </c>
      <c r="D109" s="281" t="str">
        <f>IF(VLOOKUP(A109,DB_TBL_DATA_FIELDS[[FIELD_ID]:[ERROR_MESSAGE]],23,FALSE)&lt;&gt;0,VLOOKUP(A109,DB_TBL_DATA_FIELDS[[FIELD_ID]:[ERROR_MESSAGE]],23,FALSE),"")</f>
        <v/>
      </c>
      <c r="E109" s="281">
        <f>VLOOKUP(A109,DB_TBL_DATA_FIELDS[[#All],[FIELD_ID]:[RANGE_VALIDATION_MAX]],18,FALSE)</f>
        <v>0</v>
      </c>
      <c r="F109" s="281">
        <f>VLOOKUP(A109,DB_TBL_DATA_FIELDS[[#All],[FIELD_ID]:[RANGE_VALIDATION_MAX]],19,FALSE)</f>
        <v>1</v>
      </c>
      <c r="G109" s="281">
        <f t="shared" ref="G109:G114" ca="1" si="21">IF(C109&lt;0,"",C109)</f>
        <v>1</v>
      </c>
      <c r="H109" s="215"/>
      <c r="I109" s="208"/>
      <c r="J109" s="224"/>
      <c r="K109" s="224"/>
      <c r="L109" s="224"/>
      <c r="M109" s="224"/>
      <c r="N109" s="224"/>
      <c r="O109" s="224"/>
      <c r="P109" s="140"/>
      <c r="Q109" s="225"/>
      <c r="R109" s="140"/>
      <c r="S109" s="225"/>
      <c r="T109" s="140"/>
      <c r="U109" s="225"/>
      <c r="V109" s="140"/>
      <c r="W109" s="225"/>
      <c r="X109" s="153"/>
      <c r="Y109" s="194"/>
    </row>
    <row r="110" spans="1:25" ht="21.95" customHeight="1" x14ac:dyDescent="0.2">
      <c r="A110" s="273" t="s">
        <v>2521</v>
      </c>
      <c r="B110" s="288" t="str">
        <f>IF(W97="","",IF(UPPER(W97)="YES",TRUE,FALSE))</f>
        <v/>
      </c>
      <c r="C110" s="281">
        <f ca="1">VLOOKUP(A110,DB_TBL_DATA_FIELDS[[FIELD_ID]:[PCT_CALC_FIELD_STATUS_CODE]],22,FALSE)</f>
        <v>1</v>
      </c>
      <c r="D110" s="281" t="str">
        <f>IF(VLOOKUP(A110,DB_TBL_DATA_FIELDS[[FIELD_ID]:[ERROR_MESSAGE]],23,FALSE)&lt;&gt;0,VLOOKUP(A110,DB_TBL_DATA_FIELDS[[FIELD_ID]:[ERROR_MESSAGE]],23,FALSE),"")</f>
        <v/>
      </c>
      <c r="E110" s="281">
        <f>VLOOKUP(A110,DB_TBL_DATA_FIELDS[[#All],[FIELD_ID]:[RANGE_VALIDATION_MAX]],18,FALSE)</f>
        <v>0</v>
      </c>
      <c r="F110" s="281">
        <f>VLOOKUP(A110,DB_TBL_DATA_FIELDS[[#All],[FIELD_ID]:[RANGE_VALIDATION_MAX]],19,FALSE)</f>
        <v>1</v>
      </c>
      <c r="G110" s="281">
        <f ca="1">IF(C110&lt;0,"",C110)</f>
        <v>1</v>
      </c>
      <c r="H110" s="215"/>
      <c r="I110" s="226" t="s">
        <v>3380</v>
      </c>
      <c r="J110" s="153"/>
      <c r="K110" s="215"/>
      <c r="L110" s="153"/>
      <c r="M110" s="215"/>
      <c r="N110" s="153"/>
      <c r="O110" s="215"/>
      <c r="P110" s="153"/>
      <c r="Q110" s="215"/>
      <c r="R110" s="153"/>
      <c r="S110" s="215"/>
      <c r="T110" s="153"/>
      <c r="U110" s="615"/>
      <c r="V110" s="616"/>
      <c r="W110" s="617"/>
      <c r="X110" s="165">
        <f ca="1">G127</f>
        <v>1</v>
      </c>
      <c r="Y110" s="194"/>
    </row>
    <row r="111" spans="1:25" ht="21.95" customHeight="1" x14ac:dyDescent="0.2">
      <c r="A111" s="273" t="s">
        <v>2522</v>
      </c>
      <c r="B111" s="288" t="str">
        <f>IF(W99="","",IF(UPPER(W99)="YES",TRUE,FALSE))</f>
        <v/>
      </c>
      <c r="C111" s="281">
        <f ca="1">VLOOKUP(A111,DB_TBL_DATA_FIELDS[[FIELD_ID]:[PCT_CALC_FIELD_STATUS_CODE]],22,FALSE)</f>
        <v>1</v>
      </c>
      <c r="D111" s="281" t="str">
        <f>IF(VLOOKUP(A111,DB_TBL_DATA_FIELDS[[FIELD_ID]:[ERROR_MESSAGE]],23,FALSE)&lt;&gt;0,VLOOKUP(A111,DB_TBL_DATA_FIELDS[[FIELD_ID]:[ERROR_MESSAGE]],23,FALSE),"")</f>
        <v/>
      </c>
      <c r="E111" s="281">
        <f>VLOOKUP(A111,DB_TBL_DATA_FIELDS[[#All],[FIELD_ID]:[RANGE_VALIDATION_MAX]],18,FALSE)</f>
        <v>0</v>
      </c>
      <c r="F111" s="281">
        <f>VLOOKUP(A111,DB_TBL_DATA_FIELDS[[#All],[FIELD_ID]:[RANGE_VALIDATION_MAX]],19,FALSE)</f>
        <v>1</v>
      </c>
      <c r="G111" s="281">
        <f t="shared" ca="1" si="21"/>
        <v>1</v>
      </c>
      <c r="H111" s="215"/>
      <c r="I111" s="226" t="s">
        <v>3381</v>
      </c>
      <c r="J111" s="153"/>
      <c r="K111" s="215"/>
      <c r="L111" s="153"/>
      <c r="M111" s="215"/>
      <c r="N111" s="153"/>
      <c r="O111" s="215"/>
      <c r="P111" s="153"/>
      <c r="Q111" s="215"/>
      <c r="R111" s="153"/>
      <c r="S111" s="215"/>
      <c r="T111" s="153"/>
      <c r="U111" s="215"/>
      <c r="V111" s="153"/>
      <c r="W111" s="316"/>
      <c r="X111" s="165">
        <f ca="1">G129</f>
        <v>1</v>
      </c>
      <c r="Y111" s="215"/>
    </row>
    <row r="112" spans="1:25" ht="21.95" customHeight="1" x14ac:dyDescent="0.2">
      <c r="A112" s="273" t="s">
        <v>2499</v>
      </c>
      <c r="B112" s="288" t="str">
        <f>IF(S100&lt;&gt;"",S100,"")</f>
        <v/>
      </c>
      <c r="C112" s="281">
        <f ca="1">VLOOKUP(A112,DB_TBL_DATA_FIELDS[[FIELD_ID]:[PCT_CALC_FIELD_STATUS_CODE]],22,FALSE)</f>
        <v>-1</v>
      </c>
      <c r="D112" s="281" t="str">
        <f>IF(VLOOKUP(A112,DB_TBL_DATA_FIELDS[[FIELD_ID]:[ERROR_MESSAGE]],23,FALSE)&lt;&gt;0,VLOOKUP(A112,DB_TBL_DATA_FIELDS[[FIELD_ID]:[ERROR_MESSAGE]],23,FALSE),"")</f>
        <v/>
      </c>
      <c r="E112" s="281">
        <f>VLOOKUP(A112,DB_TBL_DATA_FIELDS[[#All],[FIELD_ID]:[RANGE_VALIDATION_MAX]],18,FALSE)</f>
        <v>0</v>
      </c>
      <c r="F112" s="281">
        <f>VLOOKUP(A112,DB_TBL_DATA_FIELDS[[#All],[FIELD_ID]:[RANGE_VALIDATION_MAX]],19,FALSE)</f>
        <v>100</v>
      </c>
      <c r="G112" s="281" t="str">
        <f t="shared" ca="1" si="21"/>
        <v/>
      </c>
      <c r="H112" s="215"/>
      <c r="I112" s="372" t="s">
        <v>3600</v>
      </c>
      <c r="J112" s="153"/>
      <c r="K112" s="215"/>
      <c r="L112" s="153"/>
      <c r="M112" s="215"/>
      <c r="N112" s="153"/>
      <c r="O112" s="215"/>
      <c r="P112" s="153"/>
      <c r="Q112" s="215"/>
      <c r="R112" s="153"/>
      <c r="S112" s="215"/>
      <c r="T112" s="153"/>
      <c r="U112" s="215"/>
      <c r="V112" s="153"/>
      <c r="W112" s="361"/>
      <c r="X112" s="165" t="str">
        <f ca="1">G130</f>
        <v/>
      </c>
      <c r="Y112" s="215"/>
    </row>
    <row r="113" spans="1:25" ht="21.95" customHeight="1" x14ac:dyDescent="0.2">
      <c r="A113" s="273" t="s">
        <v>2502</v>
      </c>
      <c r="B113" s="288" t="str">
        <f>IF(S101&lt;&gt;"",S101,"")</f>
        <v/>
      </c>
      <c r="C113" s="281">
        <f ca="1">VLOOKUP(A113,DB_TBL_DATA_FIELDS[[FIELD_ID]:[PCT_CALC_FIELD_STATUS_CODE]],22,FALSE)</f>
        <v>-1</v>
      </c>
      <c r="D113" s="281" t="str">
        <f>IF(VLOOKUP(A113,DB_TBL_DATA_FIELDS[[FIELD_ID]:[ERROR_MESSAGE]],23,FALSE)&lt;&gt;0,VLOOKUP(A113,DB_TBL_DATA_FIELDS[[FIELD_ID]:[ERROR_MESSAGE]],23,FALSE),"")</f>
        <v/>
      </c>
      <c r="E113" s="281">
        <f>VLOOKUP(A113,DB_TBL_DATA_FIELDS[[#All],[FIELD_ID]:[RANGE_VALIDATION_MAX]],18,FALSE)</f>
        <v>0</v>
      </c>
      <c r="F113" s="281">
        <f>VLOOKUP(A113,DB_TBL_DATA_FIELDS[[#All],[FIELD_ID]:[RANGE_VALIDATION_MAX]],19,FALSE)</f>
        <v>100</v>
      </c>
      <c r="G113" s="281" t="str">
        <f t="shared" ca="1" si="21"/>
        <v/>
      </c>
      <c r="H113" s="215"/>
      <c r="I113" s="372" t="s">
        <v>3601</v>
      </c>
      <c r="J113" s="227"/>
      <c r="K113" s="227"/>
      <c r="L113" s="227"/>
      <c r="M113" s="227"/>
      <c r="N113" s="227"/>
      <c r="O113" s="227"/>
      <c r="P113" s="153"/>
      <c r="Q113" s="215"/>
      <c r="R113" s="153"/>
      <c r="S113" s="215"/>
      <c r="T113" s="153"/>
      <c r="U113" s="215"/>
      <c r="V113" s="153"/>
      <c r="W113" s="175" t="str">
        <f>SUBSTITUTE(SUBSTITUTE(SUBSTITUTE(IF(LEN(B131)&gt;F131,CONFIG_CHAR_LIMIT_TEMPLATE_ERR,CONFIG_CHAR_LIMIT_TEMPLATE),"[diff]",ABS(LEN(B131)-F131)),"[limit]",F131),"[used]",LEN(B131))</f>
        <v>1000 character(s) remaining</v>
      </c>
      <c r="X113" s="153"/>
      <c r="Y113" s="215"/>
    </row>
    <row r="114" spans="1:25" ht="21.95" customHeight="1" x14ac:dyDescent="0.2">
      <c r="A114" s="273" t="s">
        <v>2523</v>
      </c>
      <c r="B114" s="288" t="str">
        <f>IF(W103="","",IF(UPPER(W103)="YES",TRUE,FALSE))</f>
        <v/>
      </c>
      <c r="C114" s="281">
        <f ca="1">VLOOKUP(A114,DB_TBL_DATA_FIELDS[[FIELD_ID]:[PCT_CALC_FIELD_STATUS_CODE]],22,FALSE)</f>
        <v>1</v>
      </c>
      <c r="D114" s="281" t="str">
        <f>IF(VLOOKUP(A114,DB_TBL_DATA_FIELDS[[FIELD_ID]:[ERROR_MESSAGE]],23,FALSE)&lt;&gt;0,VLOOKUP(A114,DB_TBL_DATA_FIELDS[[FIELD_ID]:[ERROR_MESSAGE]],23,FALSE),"")</f>
        <v/>
      </c>
      <c r="E114" s="281">
        <f>VLOOKUP(A114,DB_TBL_DATA_FIELDS[[#All],[FIELD_ID]:[RANGE_VALIDATION_MAX]],18,FALSE)</f>
        <v>0</v>
      </c>
      <c r="F114" s="281">
        <f>VLOOKUP(A114,DB_TBL_DATA_FIELDS[[#All],[FIELD_ID]:[RANGE_VALIDATION_MAX]],19,FALSE)</f>
        <v>1</v>
      </c>
      <c r="G114" s="281">
        <f t="shared" ca="1" si="21"/>
        <v>1</v>
      </c>
      <c r="H114" s="215"/>
      <c r="I114" s="500"/>
      <c r="J114" s="598"/>
      <c r="K114" s="598"/>
      <c r="L114" s="598"/>
      <c r="M114" s="598"/>
      <c r="N114" s="598"/>
      <c r="O114" s="598"/>
      <c r="P114" s="598"/>
      <c r="Q114" s="598"/>
      <c r="R114" s="598"/>
      <c r="S114" s="598"/>
      <c r="T114" s="598"/>
      <c r="U114" s="598"/>
      <c r="V114" s="598"/>
      <c r="W114" s="599"/>
      <c r="X114" s="165" t="str">
        <f ca="1">G131</f>
        <v/>
      </c>
      <c r="Y114" s="215"/>
    </row>
    <row r="115" spans="1:25" ht="21.95" customHeight="1" x14ac:dyDescent="0.2">
      <c r="A115" s="290" t="s">
        <v>247</v>
      </c>
      <c r="B115" s="282" t="str">
        <f>"C"&amp;MATCH(LEFT(A115,LEN(A115)-LEN("_RANGE")),A:A,0)+1&amp;":C"&amp;(ROW()-1)</f>
        <v>C109:C114</v>
      </c>
      <c r="C115" s="281"/>
      <c r="D115" s="281"/>
      <c r="E115" s="281"/>
      <c r="F115" s="281"/>
      <c r="G115" s="281"/>
      <c r="H115" s="215"/>
      <c r="I115" s="600"/>
      <c r="J115" s="601"/>
      <c r="K115" s="601"/>
      <c r="L115" s="601"/>
      <c r="M115" s="601"/>
      <c r="N115" s="601"/>
      <c r="O115" s="601"/>
      <c r="P115" s="601"/>
      <c r="Q115" s="601"/>
      <c r="R115" s="601"/>
      <c r="S115" s="601"/>
      <c r="T115" s="601"/>
      <c r="U115" s="601"/>
      <c r="V115" s="601"/>
      <c r="W115" s="602"/>
      <c r="X115" s="153"/>
      <c r="Y115" s="215"/>
    </row>
    <row r="116" spans="1:25" ht="21.95" customHeight="1" x14ac:dyDescent="0.2">
      <c r="A116" s="290" t="s">
        <v>248</v>
      </c>
      <c r="B116" s="282">
        <f ca="1">COUNTIF(INDIRECT($B115),2)</f>
        <v>0</v>
      </c>
      <c r="C116" s="281"/>
      <c r="D116" s="281"/>
      <c r="E116" s="281"/>
      <c r="F116" s="281"/>
      <c r="G116" s="281"/>
      <c r="H116" s="215"/>
      <c r="I116" s="600"/>
      <c r="J116" s="601"/>
      <c r="K116" s="601"/>
      <c r="L116" s="601"/>
      <c r="M116" s="601"/>
      <c r="N116" s="601"/>
      <c r="O116" s="601"/>
      <c r="P116" s="601"/>
      <c r="Q116" s="601"/>
      <c r="R116" s="601"/>
      <c r="S116" s="601"/>
      <c r="T116" s="601"/>
      <c r="U116" s="601"/>
      <c r="V116" s="601"/>
      <c r="W116" s="602"/>
      <c r="X116" s="153"/>
      <c r="Y116" s="215"/>
    </row>
    <row r="117" spans="1:25" ht="21.95" customHeight="1" x14ac:dyDescent="0.2">
      <c r="A117" s="290" t="s">
        <v>249</v>
      </c>
      <c r="B117" s="282">
        <f ca="1">COUNTIF(INDIRECT($B115),0)+COUNTIF(INDIRECT($B115),1)+COUNTIF(INDIRECT($B115),2)</f>
        <v>4</v>
      </c>
      <c r="C117" s="281"/>
      <c r="D117" s="281"/>
      <c r="E117" s="281"/>
      <c r="F117" s="281"/>
      <c r="G117" s="281"/>
      <c r="H117" s="215"/>
      <c r="I117" s="603"/>
      <c r="J117" s="604"/>
      <c r="K117" s="604"/>
      <c r="L117" s="604"/>
      <c r="M117" s="604"/>
      <c r="N117" s="604"/>
      <c r="O117" s="604"/>
      <c r="P117" s="604"/>
      <c r="Q117" s="604"/>
      <c r="R117" s="604"/>
      <c r="S117" s="604"/>
      <c r="T117" s="604"/>
      <c r="U117" s="604"/>
      <c r="V117" s="604"/>
      <c r="W117" s="605"/>
      <c r="X117" s="153"/>
      <c r="Y117" s="215"/>
    </row>
    <row r="118" spans="1:25" ht="21.95" customHeight="1" x14ac:dyDescent="0.2">
      <c r="A118" s="290" t="s">
        <v>250</v>
      </c>
      <c r="B118" s="282">
        <f ca="1">COUNTIF(INDIRECT($B115),0)</f>
        <v>0</v>
      </c>
      <c r="C118" s="281" t="s">
        <v>2607</v>
      </c>
      <c r="D118" s="281"/>
      <c r="E118" s="281"/>
      <c r="F118" s="281"/>
      <c r="G118" s="281"/>
      <c r="H118" s="215"/>
      <c r="I118" s="194"/>
      <c r="J118" s="153"/>
      <c r="K118" s="194"/>
      <c r="L118" s="153"/>
      <c r="M118" s="194"/>
      <c r="N118" s="153"/>
      <c r="O118" s="194"/>
      <c r="P118" s="153"/>
      <c r="Q118" s="194"/>
      <c r="R118" s="153"/>
      <c r="S118" s="194"/>
      <c r="T118" s="153"/>
      <c r="U118" s="194"/>
      <c r="V118" s="153"/>
      <c r="W118" s="194"/>
      <c r="X118" s="153"/>
      <c r="Y118" s="194"/>
    </row>
    <row r="119" spans="1:25" ht="21.95" customHeight="1" x14ac:dyDescent="0.2">
      <c r="A119" s="290" t="s">
        <v>251</v>
      </c>
      <c r="B119" s="291">
        <f ca="1">IFERROR(B116/B117,1.01)</f>
        <v>0</v>
      </c>
      <c r="C119" s="281"/>
      <c r="D119" s="281"/>
      <c r="E119" s="281"/>
      <c r="F119" s="281"/>
      <c r="G119" s="281"/>
      <c r="H119" s="215"/>
      <c r="I119" s="226" t="s">
        <v>2593</v>
      </c>
      <c r="J119" s="153"/>
      <c r="K119" s="194"/>
      <c r="L119" s="153"/>
      <c r="M119" s="194"/>
      <c r="N119" s="153"/>
      <c r="O119" s="194"/>
      <c r="P119" s="153"/>
      <c r="Q119" s="194"/>
      <c r="R119" s="153"/>
      <c r="S119" s="194"/>
      <c r="T119" s="153"/>
      <c r="U119" s="194"/>
      <c r="V119" s="153"/>
      <c r="W119" s="333"/>
      <c r="X119" s="165">
        <f ca="1">G132</f>
        <v>1</v>
      </c>
      <c r="Y119" s="194"/>
    </row>
    <row r="120" spans="1:25" ht="21.95" customHeight="1" x14ac:dyDescent="0.2">
      <c r="A120" s="290" t="s">
        <v>252</v>
      </c>
      <c r="B120" s="292" t="str">
        <f ca="1">IF(B118&gt;0,"Data Error(s)",IF(B119=0,"Not Started",IF(B119&lt;1,ROUNDUP(B119*100,0)&amp;"% Done",IF(B119&gt;1,"Optional","Complete"))))</f>
        <v>Not Started</v>
      </c>
      <c r="C120" s="281"/>
      <c r="D120" s="281"/>
      <c r="E120" s="281"/>
      <c r="F120" s="281"/>
      <c r="G120" s="281"/>
      <c r="H120" s="215"/>
      <c r="I120" s="226" t="s">
        <v>3382</v>
      </c>
      <c r="J120" s="153"/>
      <c r="K120" s="194"/>
      <c r="L120" s="153"/>
      <c r="M120" s="194"/>
      <c r="N120" s="153"/>
      <c r="O120" s="194"/>
      <c r="P120" s="153"/>
      <c r="Q120" s="194"/>
      <c r="R120" s="153"/>
      <c r="S120" s="194"/>
      <c r="T120" s="153"/>
      <c r="U120" s="194"/>
      <c r="V120" s="153"/>
      <c r="W120" s="333"/>
      <c r="X120" s="165">
        <f ca="1">G133</f>
        <v>1</v>
      </c>
      <c r="Y120" s="194"/>
    </row>
    <row r="121" spans="1:25" ht="21.95" customHeight="1" x14ac:dyDescent="0.2">
      <c r="A121" s="290" t="s">
        <v>253</v>
      </c>
      <c r="B121" s="282" t="str">
        <f ca="1">IF(B118&gt;0,0,IF(B119&lt;1,"",2))</f>
        <v/>
      </c>
      <c r="C121" s="281"/>
      <c r="D121" s="281"/>
      <c r="E121" s="281"/>
      <c r="F121" s="281"/>
      <c r="G121" s="281"/>
      <c r="H121" s="215"/>
      <c r="I121" s="226" t="s">
        <v>2594</v>
      </c>
      <c r="J121" s="153"/>
      <c r="K121" s="194"/>
      <c r="L121" s="153"/>
      <c r="M121" s="194"/>
      <c r="N121" s="153"/>
      <c r="O121" s="194"/>
      <c r="P121" s="153"/>
      <c r="Q121" s="194"/>
      <c r="R121" s="153"/>
      <c r="S121" s="194"/>
      <c r="T121" s="153"/>
      <c r="U121" s="194"/>
      <c r="V121" s="153"/>
      <c r="W121" s="333"/>
      <c r="X121" s="165">
        <f ca="1">G134</f>
        <v>1</v>
      </c>
      <c r="Y121" s="194"/>
    </row>
    <row r="122" spans="1:25" ht="21.95" customHeight="1" x14ac:dyDescent="0.2">
      <c r="A122" s="290" t="s">
        <v>254</v>
      </c>
      <c r="B122" s="293" t="s">
        <v>2592</v>
      </c>
      <c r="C122" s="281"/>
      <c r="D122" s="281"/>
      <c r="E122" s="281"/>
      <c r="F122" s="281"/>
      <c r="G122" s="281"/>
      <c r="H122" s="215"/>
      <c r="I122" s="226" t="s">
        <v>2595</v>
      </c>
      <c r="J122" s="153"/>
      <c r="K122" s="194"/>
      <c r="L122" s="153"/>
      <c r="M122" s="194"/>
      <c r="N122" s="153"/>
      <c r="O122" s="194"/>
      <c r="P122" s="153"/>
      <c r="Q122" s="194"/>
      <c r="R122" s="153"/>
      <c r="S122" s="194"/>
      <c r="T122" s="153"/>
      <c r="U122" s="194"/>
      <c r="V122" s="153"/>
      <c r="W122" s="333"/>
      <c r="X122" s="165">
        <f ca="1">G135</f>
        <v>1</v>
      </c>
      <c r="Y122" s="194"/>
    </row>
    <row r="123" spans="1:25" ht="21.95" customHeight="1" x14ac:dyDescent="0.2">
      <c r="A123" s="294" t="s">
        <v>2360</v>
      </c>
      <c r="B123" s="282">
        <v>0</v>
      </c>
      <c r="C123" s="281" t="s">
        <v>2462</v>
      </c>
      <c r="D123" s="281"/>
      <c r="E123" s="281"/>
      <c r="F123" s="281"/>
      <c r="G123" s="281"/>
      <c r="H123" s="215"/>
      <c r="I123" s="226" t="s">
        <v>3383</v>
      </c>
      <c r="J123" s="153"/>
      <c r="K123" s="194"/>
      <c r="L123" s="153"/>
      <c r="M123" s="194"/>
      <c r="N123" s="153"/>
      <c r="O123" s="194"/>
      <c r="P123" s="153"/>
      <c r="Q123" s="194"/>
      <c r="R123" s="153"/>
      <c r="S123" s="194"/>
      <c r="T123" s="153"/>
      <c r="U123" s="194"/>
      <c r="V123" s="153"/>
      <c r="W123" s="333"/>
      <c r="X123" s="165">
        <f ca="1">G136</f>
        <v>1</v>
      </c>
      <c r="Y123" s="194"/>
    </row>
    <row r="124" spans="1:25" ht="21.95" customHeight="1" x14ac:dyDescent="0.2">
      <c r="A124" s="294" t="s">
        <v>2361</v>
      </c>
      <c r="B124" s="282" t="b">
        <f>(B123&gt;0)</f>
        <v>0</v>
      </c>
      <c r="C124" s="281"/>
      <c r="D124" s="281"/>
      <c r="E124" s="281"/>
      <c r="F124" s="281"/>
      <c r="G124" s="281"/>
      <c r="H124" s="215"/>
      <c r="I124" s="224"/>
      <c r="J124" s="224"/>
      <c r="K124" s="224"/>
      <c r="L124" s="224"/>
      <c r="M124" s="224"/>
      <c r="N124" s="224"/>
      <c r="O124" s="224"/>
      <c r="P124" s="153"/>
      <c r="Q124" s="194"/>
      <c r="R124" s="153"/>
      <c r="S124" s="194"/>
      <c r="T124" s="153"/>
      <c r="U124" s="194"/>
      <c r="V124" s="153"/>
      <c r="W124" s="194"/>
      <c r="X124" s="153"/>
      <c r="Y124" s="194"/>
    </row>
    <row r="125" spans="1:25" ht="21.95" customHeight="1" thickBot="1" x14ac:dyDescent="0.25">
      <c r="A125" s="285" t="s">
        <v>273</v>
      </c>
      <c r="B125" s="305" t="s">
        <v>2584</v>
      </c>
      <c r="C125" s="287"/>
      <c r="D125" s="287"/>
      <c r="E125" s="287"/>
      <c r="F125" s="287"/>
      <c r="G125" s="172" t="str">
        <f>B171</f>
        <v>Project Type and Characteristics</v>
      </c>
      <c r="H125" s="215"/>
      <c r="I125" s="216" t="s">
        <v>3485</v>
      </c>
      <c r="J125" s="222"/>
      <c r="K125" s="222"/>
      <c r="L125" s="222"/>
      <c r="M125" s="222"/>
      <c r="N125" s="222"/>
      <c r="O125" s="222"/>
      <c r="P125" s="217"/>
      <c r="Q125" s="223"/>
      <c r="R125" s="217"/>
      <c r="S125" s="223"/>
      <c r="T125" s="217"/>
      <c r="U125" s="223"/>
      <c r="V125" s="217"/>
      <c r="W125" s="223"/>
      <c r="X125" s="153"/>
      <c r="Y125" s="194"/>
    </row>
    <row r="126" spans="1:25" ht="21.95" customHeight="1" thickTop="1" x14ac:dyDescent="0.2">
      <c r="A126" s="273" t="s">
        <v>2515</v>
      </c>
      <c r="B126" s="288" t="str">
        <f>IF(I204&lt;&gt;"",I204,"")</f>
        <v/>
      </c>
      <c r="C126" s="281">
        <f ca="1">VLOOKUP(A126,DB_TBL_DATA_FIELDS[[FIELD_ID]:[PCT_CALC_FIELD_STATUS_CODE]],22,FALSE)</f>
        <v>1</v>
      </c>
      <c r="D126" s="281" t="str">
        <f>IF(VLOOKUP(A126,DB_TBL_DATA_FIELDS[[FIELD_ID]:[ERROR_MESSAGE]],23,FALSE)&lt;&gt;0,VLOOKUP(A126,DB_TBL_DATA_FIELDS[[FIELD_ID]:[ERROR_MESSAGE]],23,FALSE),"")</f>
        <v/>
      </c>
      <c r="E126" s="281">
        <f>VLOOKUP(A126,DB_TBL_DATA_FIELDS[[#All],[FIELD_ID]:[RANGE_VALIDATION_MAX]],18,FALSE)</f>
        <v>0</v>
      </c>
      <c r="F126" s="281">
        <f>VLOOKUP(A126,DB_TBL_DATA_FIELDS[[#All],[FIELD_ID]:[RANGE_VALIDATION_MAX]],19,FALSE)</f>
        <v>3000</v>
      </c>
      <c r="G126" s="281">
        <f ca="1">IF(C126&lt;0,"",C126)</f>
        <v>1</v>
      </c>
      <c r="H126" s="215"/>
      <c r="I126" s="204" t="s">
        <v>2597</v>
      </c>
      <c r="J126" s="185"/>
      <c r="K126" s="185"/>
      <c r="L126" s="185"/>
      <c r="M126" s="215"/>
      <c r="N126" s="185"/>
      <c r="O126" s="204" t="s">
        <v>2598</v>
      </c>
      <c r="P126" s="153"/>
      <c r="Q126" s="215"/>
      <c r="R126" s="153"/>
      <c r="S126" s="204" t="s">
        <v>2599</v>
      </c>
      <c r="T126" s="153"/>
      <c r="U126" s="215"/>
      <c r="V126" s="153"/>
      <c r="W126" s="215"/>
      <c r="X126" s="153"/>
      <c r="Y126" s="194"/>
    </row>
    <row r="127" spans="1:25" ht="21.95" customHeight="1" x14ac:dyDescent="0.2">
      <c r="A127" s="273" t="s">
        <v>2589</v>
      </c>
      <c r="B127" s="288" t="str">
        <f>IF(U110&lt;&gt;"",U110,"")</f>
        <v/>
      </c>
      <c r="C127" s="281">
        <f ca="1">VLOOKUP(A127,DB_TBL_DATA_FIELDS[[FIELD_ID]:[PCT_CALC_FIELD_STATUS_CODE]],22,FALSE)</f>
        <v>1</v>
      </c>
      <c r="D127" s="281" t="str">
        <f>IF(VLOOKUP(A127,DB_TBL_DATA_FIELDS[[FIELD_ID]:[ERROR_MESSAGE]],23,FALSE)&lt;&gt;0,VLOOKUP(A127,DB_TBL_DATA_FIELDS[[FIELD_ID]:[ERROR_MESSAGE]],23,FALSE),"")</f>
        <v/>
      </c>
      <c r="E127" s="281">
        <f>VLOOKUP(A127,DB_TBL_DATA_FIELDS[[#All],[FIELD_ID]:[RANGE_VALIDATION_MAX]],18,FALSE)</f>
        <v>0</v>
      </c>
      <c r="F127" s="281">
        <f>VLOOKUP(A127,DB_TBL_DATA_FIELDS[[#All],[FIELD_ID]:[RANGE_VALIDATION_MAX]],19,FALSE)</f>
        <v>25</v>
      </c>
      <c r="G127" s="281">
        <f ca="1">IF(C127&lt;0,"",C127)</f>
        <v>1</v>
      </c>
      <c r="H127" s="215"/>
      <c r="I127" s="667"/>
      <c r="J127" s="668"/>
      <c r="K127" s="668"/>
      <c r="L127" s="668"/>
      <c r="M127" s="669"/>
      <c r="N127" s="165" t="str">
        <f ca="1">G137</f>
        <v/>
      </c>
      <c r="O127" s="664"/>
      <c r="P127" s="665"/>
      <c r="Q127" s="666"/>
      <c r="R127" s="165" t="str">
        <f ca="1">G138</f>
        <v/>
      </c>
      <c r="S127" s="661"/>
      <c r="T127" s="662"/>
      <c r="U127" s="662"/>
      <c r="V127" s="662"/>
      <c r="W127" s="663"/>
      <c r="X127" s="165" t="str">
        <f ca="1">G139</f>
        <v/>
      </c>
      <c r="Y127" s="194"/>
    </row>
    <row r="128" spans="1:25" ht="21.95" customHeight="1" x14ac:dyDescent="0.2">
      <c r="A128" s="273" t="s">
        <v>2516</v>
      </c>
      <c r="B128" s="296" t="str">
        <f ca="1">VLOOKUP(A128,'$DB.DATA'!D:H,5,FALSE)</f>
        <v/>
      </c>
      <c r="C128" s="281" t="str">
        <f ca="1">VLOOKUP(A128,DB_TBL_DATA_FIELDS[[FIELD_ID]:[PCT_CALC_FIELD_STATUS_CODE]],22,FALSE)</f>
        <v/>
      </c>
      <c r="D128" s="281" t="str">
        <f>IF(VLOOKUP(A128,DB_TBL_DATA_FIELDS[[FIELD_ID]:[ERROR_MESSAGE]],23,FALSE)&lt;&gt;0,VLOOKUP(A128,DB_TBL_DATA_FIELDS[[FIELD_ID]:[ERROR_MESSAGE]],23,FALSE),"")</f>
        <v/>
      </c>
      <c r="E128" s="281">
        <f>VLOOKUP(A128,DB_TBL_DATA_FIELDS[[#All],[FIELD_ID]:[RANGE_VALIDATION_MAX]],18,FALSE)</f>
        <v>0</v>
      </c>
      <c r="F128" s="281">
        <f>VLOOKUP(A128,DB_TBL_DATA_FIELDS[[#All],[FIELD_ID]:[RANGE_VALIDATION_MAX]],19,FALSE)</f>
        <v>1</v>
      </c>
      <c r="G128" s="281" t="str">
        <f t="shared" ref="G128:G163" ca="1" si="22">IF(C128&lt;0,"",C128)</f>
        <v/>
      </c>
      <c r="H128" s="215"/>
      <c r="I128" s="204" t="s">
        <v>3433</v>
      </c>
      <c r="J128" s="224"/>
      <c r="K128" s="224"/>
      <c r="L128" s="224"/>
      <c r="M128" s="224"/>
      <c r="N128" s="224"/>
      <c r="O128" s="224"/>
      <c r="P128" s="153"/>
      <c r="Q128" s="194"/>
      <c r="R128" s="153"/>
      <c r="S128" s="194"/>
      <c r="T128" s="153"/>
      <c r="U128" s="194"/>
      <c r="V128" s="153"/>
      <c r="W128" s="175" t="str">
        <f>SUBSTITUTE(SUBSTITUTE(SUBSTITUTE(IF(LEN(B140)&gt;F140,CONFIG_CHAR_LIMIT_TEMPLATE_ERR,CONFIG_CHAR_LIMIT_TEMPLATE),"[diff]",ABS(LEN(B140)-F140)),"[limit]",F140),"[used]",LEN(B140))</f>
        <v>1000 character(s) remaining</v>
      </c>
      <c r="X128" s="153"/>
      <c r="Y128" s="194"/>
    </row>
    <row r="129" spans="1:25" ht="21.95" customHeight="1" x14ac:dyDescent="0.2">
      <c r="A129" s="273" t="s">
        <v>2518</v>
      </c>
      <c r="B129" s="288" t="str">
        <f>IF(W111="","",IF(UPPER(W111)="YES",TRUE,FALSE))</f>
        <v/>
      </c>
      <c r="C129" s="281">
        <f ca="1">VLOOKUP(A129,DB_TBL_DATA_FIELDS[[FIELD_ID]:[PCT_CALC_FIELD_STATUS_CODE]],22,FALSE)</f>
        <v>1</v>
      </c>
      <c r="D129" s="281" t="str">
        <f>IF(VLOOKUP(A129,DB_TBL_DATA_FIELDS[[FIELD_ID]:[ERROR_MESSAGE]],23,FALSE)&lt;&gt;0,VLOOKUP(A129,DB_TBL_DATA_FIELDS[[FIELD_ID]:[ERROR_MESSAGE]],23,FALSE),"")</f>
        <v/>
      </c>
      <c r="E129" s="281">
        <f>VLOOKUP(A129,DB_TBL_DATA_FIELDS[[#All],[FIELD_ID]:[RANGE_VALIDATION_MAX]],18,FALSE)</f>
        <v>0</v>
      </c>
      <c r="F129" s="281">
        <f>VLOOKUP(A129,DB_TBL_DATA_FIELDS[[#All],[FIELD_ID]:[RANGE_VALIDATION_MAX]],19,FALSE)</f>
        <v>1</v>
      </c>
      <c r="G129" s="281">
        <f ca="1">IF(C129&lt;0,"",C129)</f>
        <v>1</v>
      </c>
      <c r="H129" s="215"/>
      <c r="I129" s="500"/>
      <c r="J129" s="501"/>
      <c r="K129" s="501"/>
      <c r="L129" s="501"/>
      <c r="M129" s="501"/>
      <c r="N129" s="501"/>
      <c r="O129" s="501"/>
      <c r="P129" s="501"/>
      <c r="Q129" s="501"/>
      <c r="R129" s="501"/>
      <c r="S129" s="501"/>
      <c r="T129" s="501"/>
      <c r="U129" s="501"/>
      <c r="V129" s="501"/>
      <c r="W129" s="502"/>
      <c r="X129" s="165" t="str">
        <f ca="1">G140</f>
        <v/>
      </c>
      <c r="Y129" s="194"/>
    </row>
    <row r="130" spans="1:25" ht="21.95" customHeight="1" x14ac:dyDescent="0.2">
      <c r="A130" s="273" t="s">
        <v>3564</v>
      </c>
      <c r="B130" s="288" t="str">
        <f>IF(W112="","",IF(UPPER(W112)="YES",TRUE,FALSE))</f>
        <v/>
      </c>
      <c r="C130" s="281">
        <f ca="1">VLOOKUP(A130,DB_TBL_DATA_FIELDS[[FIELD_ID]:[PCT_CALC_FIELD_STATUS_CODE]],22,FALSE)</f>
        <v>-1</v>
      </c>
      <c r="D130" s="281" t="str">
        <f>IF(VLOOKUP(A130,DB_TBL_DATA_FIELDS[[FIELD_ID]:[ERROR_MESSAGE]],23,FALSE)&lt;&gt;0,VLOOKUP(A130,DB_TBL_DATA_FIELDS[[FIELD_ID]:[ERROR_MESSAGE]],23,FALSE),"")</f>
        <v/>
      </c>
      <c r="E130" s="281">
        <f>VLOOKUP(A130,DB_TBL_DATA_FIELDS[[#All],[FIELD_ID]:[RANGE_VALIDATION_MAX]],18,FALSE)</f>
        <v>0</v>
      </c>
      <c r="F130" s="281">
        <f>VLOOKUP(A130,DB_TBL_DATA_FIELDS[[#All],[FIELD_ID]:[RANGE_VALIDATION_MAX]],19,FALSE)</f>
        <v>1</v>
      </c>
      <c r="G130" s="281" t="str">
        <f ca="1">IF(C130&lt;0,"",C130)</f>
        <v/>
      </c>
      <c r="H130" s="215"/>
      <c r="I130" s="503"/>
      <c r="J130" s="504"/>
      <c r="K130" s="504"/>
      <c r="L130" s="504"/>
      <c r="M130" s="504"/>
      <c r="N130" s="504"/>
      <c r="O130" s="504"/>
      <c r="P130" s="504"/>
      <c r="Q130" s="504"/>
      <c r="R130" s="504"/>
      <c r="S130" s="504"/>
      <c r="T130" s="504"/>
      <c r="U130" s="504"/>
      <c r="V130" s="504"/>
      <c r="W130" s="505"/>
      <c r="X130" s="153"/>
      <c r="Y130" s="194"/>
    </row>
    <row r="131" spans="1:25" ht="21.95" customHeight="1" x14ac:dyDescent="0.2">
      <c r="A131" s="273" t="s">
        <v>2519</v>
      </c>
      <c r="B131" s="288" t="str">
        <f>IF(I114&lt;&gt;"",I114,"")</f>
        <v/>
      </c>
      <c r="C131" s="281">
        <f ca="1">VLOOKUP(A131,DB_TBL_DATA_FIELDS[[FIELD_ID]:[PCT_CALC_FIELD_STATUS_CODE]],22,FALSE)</f>
        <v>-1</v>
      </c>
      <c r="D131" s="281" t="str">
        <f>IF(VLOOKUP(A131,DB_TBL_DATA_FIELDS[[FIELD_ID]:[ERROR_MESSAGE]],23,FALSE)&lt;&gt;0,VLOOKUP(A131,DB_TBL_DATA_FIELDS[[FIELD_ID]:[ERROR_MESSAGE]],23,FALSE),"")</f>
        <v/>
      </c>
      <c r="E131" s="281">
        <f>VLOOKUP(A131,DB_TBL_DATA_FIELDS[[#All],[FIELD_ID]:[RANGE_VALIDATION_MAX]],18,FALSE)</f>
        <v>0</v>
      </c>
      <c r="F131" s="281">
        <f>VLOOKUP(A131,DB_TBL_DATA_FIELDS[[#All],[FIELD_ID]:[RANGE_VALIDATION_MAX]],19,FALSE)</f>
        <v>1000</v>
      </c>
      <c r="G131" s="281" t="str">
        <f ca="1">IF(C131&lt;0,"",C131)</f>
        <v/>
      </c>
      <c r="H131" s="215"/>
      <c r="I131" s="506"/>
      <c r="J131" s="507"/>
      <c r="K131" s="507"/>
      <c r="L131" s="507"/>
      <c r="M131" s="507"/>
      <c r="N131" s="507"/>
      <c r="O131" s="507"/>
      <c r="P131" s="507"/>
      <c r="Q131" s="507"/>
      <c r="R131" s="507"/>
      <c r="S131" s="507"/>
      <c r="T131" s="507"/>
      <c r="U131" s="507"/>
      <c r="V131" s="507"/>
      <c r="W131" s="508"/>
      <c r="X131" s="153"/>
      <c r="Y131" s="194"/>
    </row>
    <row r="132" spans="1:25" ht="21.95" customHeight="1" x14ac:dyDescent="0.2">
      <c r="A132" s="273" t="s">
        <v>2520</v>
      </c>
      <c r="B132" s="288" t="str">
        <f>IF(W119="","",IF(UPPER(W119)="YES",TRUE,FALSE))</f>
        <v/>
      </c>
      <c r="C132" s="281">
        <f ca="1">VLOOKUP(A132,DB_TBL_DATA_FIELDS[[FIELD_ID]:[PCT_CALC_FIELD_STATUS_CODE]],22,FALSE)</f>
        <v>1</v>
      </c>
      <c r="D132" s="281" t="str">
        <f>IF(VLOOKUP(A132,DB_TBL_DATA_FIELDS[[FIELD_ID]:[ERROR_MESSAGE]],23,FALSE)&lt;&gt;0,VLOOKUP(A132,DB_TBL_DATA_FIELDS[[FIELD_ID]:[ERROR_MESSAGE]],23,FALSE),"")</f>
        <v/>
      </c>
      <c r="E132" s="281">
        <f>VLOOKUP(A132,DB_TBL_DATA_FIELDS[[#All],[FIELD_ID]:[RANGE_VALIDATION_MAX]],18,FALSE)</f>
        <v>0</v>
      </c>
      <c r="F132" s="281">
        <f>VLOOKUP(A132,DB_TBL_DATA_FIELDS[[#All],[FIELD_ID]:[RANGE_VALIDATION_MAX]],19,FALSE)</f>
        <v>1</v>
      </c>
      <c r="G132" s="281">
        <f t="shared" ca="1" si="22"/>
        <v>1</v>
      </c>
      <c r="H132" s="215"/>
      <c r="I132" s="224"/>
      <c r="J132" s="224"/>
      <c r="K132" s="224"/>
      <c r="L132" s="224"/>
      <c r="M132" s="224"/>
      <c r="N132" s="224"/>
      <c r="O132" s="224"/>
      <c r="P132" s="153"/>
      <c r="Q132" s="194"/>
      <c r="R132" s="153"/>
      <c r="S132" s="194"/>
      <c r="T132" s="153"/>
      <c r="U132" s="194"/>
      <c r="V132" s="153"/>
      <c r="W132" s="194"/>
      <c r="X132" s="153"/>
      <c r="Y132" s="194"/>
    </row>
    <row r="133" spans="1:25" ht="21.95" customHeight="1" thickBot="1" x14ac:dyDescent="0.25">
      <c r="A133" s="273" t="s">
        <v>2525</v>
      </c>
      <c r="B133" s="288" t="str">
        <f>IF(W120="","",IF(UPPER(W120)="YES",TRUE,FALSE))</f>
        <v/>
      </c>
      <c r="C133" s="281">
        <f ca="1">VLOOKUP(A133,DB_TBL_DATA_FIELDS[[FIELD_ID]:[PCT_CALC_FIELD_STATUS_CODE]],22,FALSE)</f>
        <v>1</v>
      </c>
      <c r="D133" s="281" t="str">
        <f>IF(VLOOKUP(A133,DB_TBL_DATA_FIELDS[[FIELD_ID]:[ERROR_MESSAGE]],23,FALSE)&lt;&gt;0,VLOOKUP(A133,DB_TBL_DATA_FIELDS[[FIELD_ID]:[ERROR_MESSAGE]],23,FALSE),"")</f>
        <v/>
      </c>
      <c r="E133" s="281">
        <f>VLOOKUP(A133,DB_TBL_DATA_FIELDS[[#All],[FIELD_ID]:[RANGE_VALIDATION_MAX]],18,FALSE)</f>
        <v>0</v>
      </c>
      <c r="F133" s="281">
        <f>VLOOKUP(A133,DB_TBL_DATA_FIELDS[[#All],[FIELD_ID]:[RANGE_VALIDATION_MAX]],19,FALSE)</f>
        <v>1</v>
      </c>
      <c r="G133" s="281">
        <f t="shared" ref="G133:G161" ca="1" si="23">IF(C133&lt;0,"",C133)</f>
        <v>1</v>
      </c>
      <c r="H133" s="215"/>
      <c r="I133" s="216" t="s">
        <v>3486</v>
      </c>
      <c r="J133" s="222"/>
      <c r="K133" s="222"/>
      <c r="L133" s="222"/>
      <c r="M133" s="222"/>
      <c r="N133" s="222"/>
      <c r="O133" s="222"/>
      <c r="P133" s="217"/>
      <c r="Q133" s="223"/>
      <c r="R133" s="217"/>
      <c r="S133" s="223"/>
      <c r="T133" s="217"/>
      <c r="U133" s="223"/>
      <c r="V133" s="217"/>
      <c r="W133" s="223"/>
      <c r="X133" s="153"/>
      <c r="Y133" s="194"/>
    </row>
    <row r="134" spans="1:25" ht="21.95" customHeight="1" thickTop="1" x14ac:dyDescent="0.2">
      <c r="A134" s="273" t="s">
        <v>2526</v>
      </c>
      <c r="B134" s="288" t="str">
        <f>IF(W121="","",IF(UPPER(W121)="YES",TRUE,FALSE))</f>
        <v/>
      </c>
      <c r="C134" s="281">
        <f ca="1">VLOOKUP(A134,DB_TBL_DATA_FIELDS[[FIELD_ID]:[PCT_CALC_FIELD_STATUS_CODE]],22,FALSE)</f>
        <v>1</v>
      </c>
      <c r="D134" s="281" t="str">
        <f>IF(VLOOKUP(A134,DB_TBL_DATA_FIELDS[[FIELD_ID]:[ERROR_MESSAGE]],23,FALSE)&lt;&gt;0,VLOOKUP(A134,DB_TBL_DATA_FIELDS[[FIELD_ID]:[ERROR_MESSAGE]],23,FALSE),"")</f>
        <v/>
      </c>
      <c r="E134" s="281">
        <f>VLOOKUP(A134,DB_TBL_DATA_FIELDS[[#All],[FIELD_ID]:[RANGE_VALIDATION_MAX]],18,FALSE)</f>
        <v>0</v>
      </c>
      <c r="F134" s="281">
        <f>VLOOKUP(A134,DB_TBL_DATA_FIELDS[[#All],[FIELD_ID]:[RANGE_VALIDATION_MAX]],19,FALSE)</f>
        <v>1</v>
      </c>
      <c r="G134" s="281">
        <f t="shared" ca="1" si="23"/>
        <v>1</v>
      </c>
      <c r="H134" s="215"/>
      <c r="I134" s="208"/>
      <c r="J134" s="224"/>
      <c r="K134" s="224"/>
      <c r="L134" s="224"/>
      <c r="M134" s="224"/>
      <c r="N134" s="224"/>
      <c r="O134" s="224"/>
      <c r="P134" s="140"/>
      <c r="Q134" s="225"/>
      <c r="R134" s="140"/>
      <c r="S134" s="225"/>
      <c r="T134" s="140"/>
      <c r="U134" s="225"/>
      <c r="V134" s="140"/>
      <c r="W134" s="225"/>
      <c r="X134" s="153"/>
      <c r="Y134" s="194"/>
    </row>
    <row r="135" spans="1:25" ht="21.95" customHeight="1" x14ac:dyDescent="0.2">
      <c r="A135" s="273" t="s">
        <v>2527</v>
      </c>
      <c r="B135" s="288" t="str">
        <f>IF(W122="","",IF(UPPER(W122)="YES",TRUE,FALSE))</f>
        <v/>
      </c>
      <c r="C135" s="281">
        <f ca="1">VLOOKUP(A135,DB_TBL_DATA_FIELDS[[FIELD_ID]:[PCT_CALC_FIELD_STATUS_CODE]],22,FALSE)</f>
        <v>1</v>
      </c>
      <c r="D135" s="281" t="str">
        <f>IF(VLOOKUP(A135,DB_TBL_DATA_FIELDS[[FIELD_ID]:[ERROR_MESSAGE]],23,FALSE)&lt;&gt;0,VLOOKUP(A135,DB_TBL_DATA_FIELDS[[FIELD_ID]:[ERROR_MESSAGE]],23,FALSE),"")</f>
        <v/>
      </c>
      <c r="E135" s="281">
        <f>VLOOKUP(A135,DB_TBL_DATA_FIELDS[[#All],[FIELD_ID]:[RANGE_VALIDATION_MAX]],18,FALSE)</f>
        <v>0</v>
      </c>
      <c r="F135" s="281">
        <f>VLOOKUP(A135,DB_TBL_DATA_FIELDS[[#All],[FIELD_ID]:[RANGE_VALIDATION_MAX]],19,FALSE)</f>
        <v>1</v>
      </c>
      <c r="G135" s="281">
        <f t="shared" ca="1" si="23"/>
        <v>1</v>
      </c>
      <c r="H135" s="215"/>
      <c r="I135" s="228" t="s">
        <v>3434</v>
      </c>
      <c r="J135" s="153"/>
      <c r="K135" s="215"/>
      <c r="L135" s="229"/>
      <c r="M135" s="229"/>
      <c r="N135" s="229"/>
      <c r="O135" s="215"/>
      <c r="P135" s="153"/>
      <c r="Q135" s="204"/>
      <c r="R135" s="204"/>
      <c r="S135" s="204"/>
      <c r="T135" s="204"/>
      <c r="U135" s="204"/>
      <c r="V135" s="204"/>
      <c r="W135" s="333"/>
      <c r="X135" s="165">
        <f ca="1">G141</f>
        <v>1</v>
      </c>
      <c r="Y135" s="194"/>
    </row>
    <row r="136" spans="1:25" ht="21.95" customHeight="1" x14ac:dyDescent="0.2">
      <c r="A136" s="273" t="s">
        <v>2528</v>
      </c>
      <c r="B136" s="288" t="str">
        <f>IF(W123="","",IF(UPPER(W123)="YES",TRUE,FALSE))</f>
        <v/>
      </c>
      <c r="C136" s="281">
        <f ca="1">VLOOKUP(A136,DB_TBL_DATA_FIELDS[[FIELD_ID]:[PCT_CALC_FIELD_STATUS_CODE]],22,FALSE)</f>
        <v>1</v>
      </c>
      <c r="D136" s="281" t="str">
        <f>IF(VLOOKUP(A136,DB_TBL_DATA_FIELDS[[FIELD_ID]:[ERROR_MESSAGE]],23,FALSE)&lt;&gt;0,VLOOKUP(A136,DB_TBL_DATA_FIELDS[[FIELD_ID]:[ERROR_MESSAGE]],23,FALSE),"")</f>
        <v/>
      </c>
      <c r="E136" s="281">
        <f>VLOOKUP(A136,DB_TBL_DATA_FIELDS[[#All],[FIELD_ID]:[RANGE_VALIDATION_MAX]],18,FALSE)</f>
        <v>0</v>
      </c>
      <c r="F136" s="281">
        <f>VLOOKUP(A136,DB_TBL_DATA_FIELDS[[#All],[FIELD_ID]:[RANGE_VALIDATION_MAX]],19,FALSE)</f>
        <v>1</v>
      </c>
      <c r="G136" s="281">
        <f t="shared" ca="1" si="23"/>
        <v>1</v>
      </c>
      <c r="H136" s="215"/>
      <c r="I136" s="221" t="s">
        <v>3487</v>
      </c>
      <c r="J136" s="228"/>
      <c r="K136" s="228"/>
      <c r="L136" s="229"/>
      <c r="M136" s="229"/>
      <c r="N136" s="229"/>
      <c r="O136" s="215"/>
      <c r="P136" s="153"/>
      <c r="Q136" s="204"/>
      <c r="R136" s="204"/>
      <c r="S136" s="204"/>
      <c r="T136" s="204"/>
      <c r="U136" s="204"/>
      <c r="V136" s="204"/>
      <c r="W136" s="230"/>
      <c r="X136" s="165" t="str">
        <f ca="1">G142</f>
        <v/>
      </c>
      <c r="Y136" s="194"/>
    </row>
    <row r="137" spans="1:25" ht="21.95" customHeight="1" x14ac:dyDescent="0.2">
      <c r="A137" s="273" t="s">
        <v>2529</v>
      </c>
      <c r="B137" s="288" t="str">
        <f>IF(I127&lt;&gt;"",I127,"")</f>
        <v/>
      </c>
      <c r="C137" s="281">
        <f ca="1">VLOOKUP(A137,DB_TBL_DATA_FIELDS[[FIELD_ID]:[PCT_CALC_FIELD_STATUS_CODE]],22,FALSE)</f>
        <v>-1</v>
      </c>
      <c r="D137" s="281" t="str">
        <f>IF(VLOOKUP(A137,DB_TBL_DATA_FIELDS[[FIELD_ID]:[ERROR_MESSAGE]],23,FALSE)&lt;&gt;0,VLOOKUP(A137,DB_TBL_DATA_FIELDS[[FIELD_ID]:[ERROR_MESSAGE]],23,FALSE),"")</f>
        <v/>
      </c>
      <c r="E137" s="281">
        <f>VLOOKUP(A137,DB_TBL_DATA_FIELDS[[#All],[FIELD_ID]:[RANGE_VALIDATION_MAX]],18,FALSE)</f>
        <v>1</v>
      </c>
      <c r="F137" s="281">
        <f>VLOOKUP(A137,DB_TBL_DATA_FIELDS[[#All],[FIELD_ID]:[RANGE_VALIDATION_MAX]],19,FALSE)</f>
        <v>999999999999</v>
      </c>
      <c r="G137" s="281" t="str">
        <f t="shared" ca="1" si="23"/>
        <v/>
      </c>
      <c r="H137" s="215"/>
      <c r="I137" s="224"/>
      <c r="J137" s="224"/>
      <c r="K137" s="224"/>
      <c r="L137" s="224"/>
      <c r="M137" s="224"/>
      <c r="N137" s="224"/>
      <c r="O137" s="224"/>
      <c r="P137" s="153"/>
      <c r="Q137" s="194"/>
      <c r="R137" s="153"/>
      <c r="S137" s="194"/>
      <c r="T137" s="153"/>
      <c r="U137" s="194"/>
      <c r="V137" s="153"/>
      <c r="W137" s="194"/>
      <c r="X137" s="153"/>
      <c r="Y137" s="194"/>
    </row>
    <row r="138" spans="1:25" ht="21.95" customHeight="1" thickBot="1" x14ac:dyDescent="0.25">
      <c r="A138" s="273" t="s">
        <v>2530</v>
      </c>
      <c r="B138" s="288" t="str">
        <f>IF(O127&lt;&gt;"",O127,"")</f>
        <v/>
      </c>
      <c r="C138" s="281">
        <f ca="1">VLOOKUP(A138,DB_TBL_DATA_FIELDS[[FIELD_ID]:[PCT_CALC_FIELD_STATUS_CODE]],22,FALSE)</f>
        <v>-1</v>
      </c>
      <c r="D138" s="281" t="str">
        <f>IF(VLOOKUP(A138,DB_TBL_DATA_FIELDS[[FIELD_ID]:[ERROR_MESSAGE]],23,FALSE)&lt;&gt;0,VLOOKUP(A138,DB_TBL_DATA_FIELDS[[FIELD_ID]:[ERROR_MESSAGE]],23,FALSE),"")</f>
        <v/>
      </c>
      <c r="E138" s="281">
        <f>VLOOKUP(A138,DB_TBL_DATA_FIELDS[[#All],[FIELD_ID]:[RANGE_VALIDATION_MAX]],18,FALSE)</f>
        <v>1</v>
      </c>
      <c r="F138" s="281">
        <f>VLOOKUP(A138,DB_TBL_DATA_FIELDS[[#All],[FIELD_ID]:[RANGE_VALIDATION_MAX]],19,FALSE)</f>
        <v>999999999999</v>
      </c>
      <c r="G138" s="281" t="str">
        <f t="shared" ca="1" si="23"/>
        <v/>
      </c>
      <c r="H138" s="215"/>
      <c r="I138" s="216" t="s">
        <v>3665</v>
      </c>
      <c r="J138" s="222"/>
      <c r="K138" s="222"/>
      <c r="L138" s="222"/>
      <c r="M138" s="222"/>
      <c r="N138" s="222"/>
      <c r="O138" s="222"/>
      <c r="P138" s="217"/>
      <c r="Q138" s="223"/>
      <c r="R138" s="217"/>
      <c r="S138" s="223"/>
      <c r="T138" s="217"/>
      <c r="U138" s="223"/>
      <c r="V138" s="217"/>
      <c r="W138" s="223"/>
      <c r="X138" s="153"/>
      <c r="Y138" s="194"/>
    </row>
    <row r="139" spans="1:25" ht="21.95" customHeight="1" thickTop="1" x14ac:dyDescent="0.2">
      <c r="A139" s="273" t="s">
        <v>2531</v>
      </c>
      <c r="B139" s="288" t="str">
        <f>IF(S127&lt;&gt;"",S127,"")</f>
        <v/>
      </c>
      <c r="C139" s="281">
        <f ca="1">VLOOKUP(A139,DB_TBL_DATA_FIELDS[[FIELD_ID]:[PCT_CALC_FIELD_STATUS_CODE]],22,FALSE)</f>
        <v>-1</v>
      </c>
      <c r="D139" s="281" t="str">
        <f>IF(VLOOKUP(A139,DB_TBL_DATA_FIELDS[[FIELD_ID]:[ERROR_MESSAGE]],23,FALSE)&lt;&gt;0,VLOOKUP(A139,DB_TBL_DATA_FIELDS[[FIELD_ID]:[ERROR_MESSAGE]],23,FALSE),"")</f>
        <v/>
      </c>
      <c r="E139" s="281">
        <f>VLOOKUP(A139,DB_TBL_DATA_FIELDS[[#All],[FIELD_ID]:[RANGE_VALIDATION_MAX]],18,FALSE)</f>
        <v>0</v>
      </c>
      <c r="F139" s="281">
        <f>VLOOKUP(A139,DB_TBL_DATA_FIELDS[[#All],[FIELD_ID]:[RANGE_VALIDATION_MAX]],19,FALSE)</f>
        <v>1</v>
      </c>
      <c r="G139" s="281" t="str">
        <f t="shared" ca="1" si="23"/>
        <v/>
      </c>
      <c r="H139" s="215"/>
      <c r="I139" s="208"/>
      <c r="J139" s="224"/>
      <c r="K139" s="224"/>
      <c r="L139" s="224"/>
      <c r="M139" s="224"/>
      <c r="N139" s="224"/>
      <c r="O139" s="224"/>
      <c r="P139" s="140"/>
      <c r="Q139" s="225"/>
      <c r="R139" s="140"/>
      <c r="S139" s="225"/>
      <c r="T139" s="140"/>
      <c r="U139" s="225"/>
      <c r="V139" s="140"/>
      <c r="W139" s="225"/>
      <c r="X139" s="153"/>
      <c r="Y139" s="194"/>
    </row>
    <row r="140" spans="1:25" ht="21.95" customHeight="1" x14ac:dyDescent="0.2">
      <c r="A140" s="273" t="s">
        <v>2532</v>
      </c>
      <c r="B140" s="288" t="str">
        <f>IF(I129&lt;&gt;"",I129,"")</f>
        <v/>
      </c>
      <c r="C140" s="281">
        <f ca="1">VLOOKUP(A140,DB_TBL_DATA_FIELDS[[FIELD_ID]:[PCT_CALC_FIELD_STATUS_CODE]],22,FALSE)</f>
        <v>-1</v>
      </c>
      <c r="D140" s="281" t="str">
        <f>IF(VLOOKUP(A140,DB_TBL_DATA_FIELDS[[FIELD_ID]:[ERROR_MESSAGE]],23,FALSE)&lt;&gt;0,VLOOKUP(A140,DB_TBL_DATA_FIELDS[[FIELD_ID]:[ERROR_MESSAGE]],23,FALSE),"")</f>
        <v/>
      </c>
      <c r="E140" s="281">
        <f>VLOOKUP(A140,DB_TBL_DATA_FIELDS[[#All],[FIELD_ID]:[RANGE_VALIDATION_MAX]],18,FALSE)</f>
        <v>0</v>
      </c>
      <c r="F140" s="281">
        <f>VLOOKUP(A140,DB_TBL_DATA_FIELDS[[#All],[FIELD_ID]:[RANGE_VALIDATION_MAX]],19,FALSE)</f>
        <v>1000</v>
      </c>
      <c r="G140" s="281" t="str">
        <f t="shared" ca="1" si="23"/>
        <v/>
      </c>
      <c r="H140" s="215"/>
      <c r="I140" s="563" t="s">
        <v>3666</v>
      </c>
      <c r="J140" s="563"/>
      <c r="K140" s="563"/>
      <c r="L140" s="563"/>
      <c r="M140" s="563"/>
      <c r="N140" s="563"/>
      <c r="O140" s="563"/>
      <c r="P140" s="563"/>
      <c r="Q140" s="563"/>
      <c r="R140" s="563"/>
      <c r="S140" s="563"/>
      <c r="T140" s="563"/>
      <c r="U140" s="563"/>
      <c r="V140" s="153"/>
      <c r="W140" s="380"/>
      <c r="X140" s="165">
        <f ca="1">G143</f>
        <v>1</v>
      </c>
      <c r="Y140" s="194"/>
    </row>
    <row r="141" spans="1:25" ht="21.95" customHeight="1" x14ac:dyDescent="0.2">
      <c r="A141" s="273" t="s">
        <v>2533</v>
      </c>
      <c r="B141" s="288" t="str">
        <f>IF(W135="","",IF(UPPER(W135)="YES",TRUE,FALSE))</f>
        <v/>
      </c>
      <c r="C141" s="281">
        <f ca="1">VLOOKUP(A141,DB_TBL_DATA_FIELDS[[FIELD_ID]:[PCT_CALC_FIELD_STATUS_CODE]],22,FALSE)</f>
        <v>1</v>
      </c>
      <c r="D141" s="281" t="str">
        <f>IF(VLOOKUP(A141,DB_TBL_DATA_FIELDS[[FIELD_ID]:[ERROR_MESSAGE]],23,FALSE)&lt;&gt;0,VLOOKUP(A141,DB_TBL_DATA_FIELDS[[FIELD_ID]:[ERROR_MESSAGE]],23,FALSE),"")</f>
        <v/>
      </c>
      <c r="E141" s="281">
        <f>VLOOKUP(A141,DB_TBL_DATA_FIELDS[[#All],[FIELD_ID]:[RANGE_VALIDATION_MAX]],18,FALSE)</f>
        <v>0</v>
      </c>
      <c r="F141" s="281">
        <f>VLOOKUP(A141,DB_TBL_DATA_FIELDS[[#All],[FIELD_ID]:[RANGE_VALIDATION_MAX]],19,FALSE)</f>
        <v>1</v>
      </c>
      <c r="G141" s="281">
        <f t="shared" ca="1" si="23"/>
        <v>1</v>
      </c>
      <c r="H141" s="215"/>
      <c r="I141" s="563"/>
      <c r="J141" s="563"/>
      <c r="K141" s="563"/>
      <c r="L141" s="563"/>
      <c r="M141" s="563"/>
      <c r="N141" s="563"/>
      <c r="O141" s="563"/>
      <c r="P141" s="563"/>
      <c r="Q141" s="563"/>
      <c r="R141" s="563"/>
      <c r="S141" s="563"/>
      <c r="T141" s="563"/>
      <c r="U141" s="563"/>
      <c r="V141" s="194"/>
      <c r="W141" s="194"/>
      <c r="X141" s="194"/>
      <c r="Y141" s="194"/>
    </row>
    <row r="142" spans="1:25" ht="21.95" customHeight="1" x14ac:dyDescent="0.2">
      <c r="A142" s="273" t="s">
        <v>2534</v>
      </c>
      <c r="B142" s="288" t="str">
        <f>IF(W136&lt;&gt;"",W136,"")</f>
        <v/>
      </c>
      <c r="C142" s="281">
        <f ca="1">VLOOKUP(A142,DB_TBL_DATA_FIELDS[[FIELD_ID]:[PCT_CALC_FIELD_STATUS_CODE]],22,FALSE)</f>
        <v>-1</v>
      </c>
      <c r="D142" s="281" t="str">
        <f>IF(VLOOKUP(A142,DB_TBL_DATA_FIELDS[[FIELD_ID]:[ERROR_MESSAGE]],23,FALSE)&lt;&gt;0,VLOOKUP(A142,DB_TBL_DATA_FIELDS[[FIELD_ID]:[ERROR_MESSAGE]],23,FALSE),"")</f>
        <v/>
      </c>
      <c r="E142" s="281">
        <f>VLOOKUP(A142,DB_TBL_DATA_FIELDS[[#All],[FIELD_ID]:[RANGE_VALIDATION_MAX]],18,FALSE)</f>
        <v>1</v>
      </c>
      <c r="F142" s="281">
        <f>VLOOKUP(A142,DB_TBL_DATA_FIELDS[[#All],[FIELD_ID]:[RANGE_VALIDATION_MAX]],19,FALSE)</f>
        <v>999999999999</v>
      </c>
      <c r="G142" s="281" t="str">
        <f t="shared" ca="1" si="23"/>
        <v/>
      </c>
      <c r="H142" s="215"/>
      <c r="I142" s="563" t="s">
        <v>3667</v>
      </c>
      <c r="J142" s="563"/>
      <c r="K142" s="563"/>
      <c r="L142" s="563"/>
      <c r="M142" s="563"/>
      <c r="N142" s="563"/>
      <c r="O142" s="563"/>
      <c r="P142" s="563"/>
      <c r="Q142" s="563"/>
      <c r="R142" s="563"/>
      <c r="S142" s="563"/>
      <c r="T142" s="563"/>
      <c r="U142" s="563"/>
      <c r="V142" s="153"/>
      <c r="W142" s="380"/>
      <c r="X142" s="165">
        <f ca="1">G144</f>
        <v>1</v>
      </c>
      <c r="Y142" s="194"/>
    </row>
    <row r="143" spans="1:25" ht="21.95" customHeight="1" x14ac:dyDescent="0.2">
      <c r="A143" s="273" t="s">
        <v>3654</v>
      </c>
      <c r="B143" s="288" t="str">
        <f>IF(W140="","",IF(UPPER(W140)="YES",TRUE,FALSE))</f>
        <v/>
      </c>
      <c r="C143" s="281">
        <f ca="1">VLOOKUP(A143,DB_TBL_DATA_FIELDS[[FIELD_ID]:[PCT_CALC_FIELD_STATUS_CODE]],22,FALSE)</f>
        <v>1</v>
      </c>
      <c r="D143" s="281" t="str">
        <f>IF(VLOOKUP(A143,DB_TBL_DATA_FIELDS[[FIELD_ID]:[ERROR_MESSAGE]],23,FALSE)&lt;&gt;0,VLOOKUP(A143,DB_TBL_DATA_FIELDS[[FIELD_ID]:[ERROR_MESSAGE]],23,FALSE),"")</f>
        <v/>
      </c>
      <c r="E143" s="281">
        <f>VLOOKUP(A143,DB_TBL_DATA_FIELDS[[#All],[FIELD_ID]:[RANGE_VALIDATION_MAX]],18,FALSE)</f>
        <v>0</v>
      </c>
      <c r="F143" s="281">
        <f>VLOOKUP(A143,DB_TBL_DATA_FIELDS[[#All],[FIELD_ID]:[RANGE_VALIDATION_MAX]],19,FALSE)</f>
        <v>1</v>
      </c>
      <c r="G143" s="281">
        <f t="shared" ref="G143:G147" ca="1" si="24">IF(C143&lt;0,"",C143)</f>
        <v>1</v>
      </c>
      <c r="H143" s="215"/>
      <c r="I143" s="563"/>
      <c r="J143" s="563"/>
      <c r="K143" s="563"/>
      <c r="L143" s="563"/>
      <c r="M143" s="563"/>
      <c r="N143" s="563"/>
      <c r="O143" s="563"/>
      <c r="P143" s="563"/>
      <c r="Q143" s="563"/>
      <c r="R143" s="563"/>
      <c r="S143" s="563"/>
      <c r="T143" s="563"/>
      <c r="U143" s="563"/>
      <c r="V143" s="194"/>
      <c r="W143" s="194"/>
      <c r="X143" s="194"/>
      <c r="Y143" s="194"/>
    </row>
    <row r="144" spans="1:25" ht="21.95" customHeight="1" x14ac:dyDescent="0.2">
      <c r="A144" s="273" t="s">
        <v>3655</v>
      </c>
      <c r="B144" s="288" t="str">
        <f>IF(W142="","",IF(UPPER(W142)="YES",TRUE,FALSE))</f>
        <v/>
      </c>
      <c r="C144" s="281">
        <f ca="1">VLOOKUP(A144,DB_TBL_DATA_FIELDS[[FIELD_ID]:[PCT_CALC_FIELD_STATUS_CODE]],22,FALSE)</f>
        <v>1</v>
      </c>
      <c r="D144" s="281" t="str">
        <f>IF(VLOOKUP(A144,DB_TBL_DATA_FIELDS[[FIELD_ID]:[ERROR_MESSAGE]],23,FALSE)&lt;&gt;0,VLOOKUP(A144,DB_TBL_DATA_FIELDS[[FIELD_ID]:[ERROR_MESSAGE]],23,FALSE),"")</f>
        <v/>
      </c>
      <c r="E144" s="281">
        <f>VLOOKUP(A144,DB_TBL_DATA_FIELDS[[#All],[FIELD_ID]:[RANGE_VALIDATION_MAX]],18,FALSE)</f>
        <v>0</v>
      </c>
      <c r="F144" s="281">
        <f>VLOOKUP(A144,DB_TBL_DATA_FIELDS[[#All],[FIELD_ID]:[RANGE_VALIDATION_MAX]],19,FALSE)</f>
        <v>1</v>
      </c>
      <c r="G144" s="281">
        <f t="shared" ca="1" si="24"/>
        <v>1</v>
      </c>
      <c r="H144" s="215"/>
      <c r="I144" s="563" t="s">
        <v>3668</v>
      </c>
      <c r="J144" s="563"/>
      <c r="K144" s="563"/>
      <c r="L144" s="563"/>
      <c r="M144" s="563"/>
      <c r="N144" s="563"/>
      <c r="O144" s="563"/>
      <c r="P144" s="563"/>
      <c r="Q144" s="563"/>
      <c r="R144" s="563"/>
      <c r="S144" s="563"/>
      <c r="T144" s="563"/>
      <c r="U144" s="563"/>
      <c r="V144" s="153"/>
      <c r="W144" s="380"/>
      <c r="X144" s="165">
        <f ca="1">G145</f>
        <v>1</v>
      </c>
      <c r="Y144" s="194"/>
    </row>
    <row r="145" spans="1:25" ht="21.95" customHeight="1" x14ac:dyDescent="0.2">
      <c r="A145" s="273" t="s">
        <v>3656</v>
      </c>
      <c r="B145" s="288" t="str">
        <f>IF(W144="","",IF(UPPER(W144)="YES",TRUE,FALSE))</f>
        <v/>
      </c>
      <c r="C145" s="281">
        <f ca="1">VLOOKUP(A145,DB_TBL_DATA_FIELDS[[FIELD_ID]:[PCT_CALC_FIELD_STATUS_CODE]],22,FALSE)</f>
        <v>1</v>
      </c>
      <c r="D145" s="281" t="str">
        <f>IF(VLOOKUP(A145,DB_TBL_DATA_FIELDS[[FIELD_ID]:[ERROR_MESSAGE]],23,FALSE)&lt;&gt;0,VLOOKUP(A145,DB_TBL_DATA_FIELDS[[FIELD_ID]:[ERROR_MESSAGE]],23,FALSE),"")</f>
        <v/>
      </c>
      <c r="E145" s="281">
        <f>VLOOKUP(A145,DB_TBL_DATA_FIELDS[[#All],[FIELD_ID]:[RANGE_VALIDATION_MAX]],18,FALSE)</f>
        <v>0</v>
      </c>
      <c r="F145" s="281">
        <f>VLOOKUP(A145,DB_TBL_DATA_FIELDS[[#All],[FIELD_ID]:[RANGE_VALIDATION_MAX]],19,FALSE)</f>
        <v>1</v>
      </c>
      <c r="G145" s="281">
        <f t="shared" ca="1" si="24"/>
        <v>1</v>
      </c>
      <c r="H145" s="215"/>
      <c r="I145" s="563"/>
      <c r="J145" s="563"/>
      <c r="K145" s="563"/>
      <c r="L145" s="563"/>
      <c r="M145" s="563"/>
      <c r="N145" s="563"/>
      <c r="O145" s="563"/>
      <c r="P145" s="563"/>
      <c r="Q145" s="563"/>
      <c r="R145" s="563"/>
      <c r="S145" s="563"/>
      <c r="T145" s="563"/>
      <c r="U145" s="563"/>
      <c r="V145" s="194"/>
      <c r="W145" s="194"/>
      <c r="X145" s="194"/>
      <c r="Y145" s="194"/>
    </row>
    <row r="146" spans="1:25" ht="21.95" customHeight="1" x14ac:dyDescent="0.2">
      <c r="A146" s="273" t="s">
        <v>3657</v>
      </c>
      <c r="B146" s="288" t="str">
        <f>IF(W146="","",IF(UPPER(W146)="YES",TRUE,FALSE))</f>
        <v/>
      </c>
      <c r="C146" s="281">
        <f ca="1">VLOOKUP(A146,DB_TBL_DATA_FIELDS[[FIELD_ID]:[PCT_CALC_FIELD_STATUS_CODE]],22,FALSE)</f>
        <v>1</v>
      </c>
      <c r="D146" s="281" t="str">
        <f>IF(VLOOKUP(A146,DB_TBL_DATA_FIELDS[[FIELD_ID]:[ERROR_MESSAGE]],23,FALSE)&lt;&gt;0,VLOOKUP(A146,DB_TBL_DATA_FIELDS[[FIELD_ID]:[ERROR_MESSAGE]],23,FALSE),"")</f>
        <v/>
      </c>
      <c r="E146" s="281">
        <f>VLOOKUP(A146,DB_TBL_DATA_FIELDS[[#All],[FIELD_ID]:[RANGE_VALIDATION_MAX]],18,FALSE)</f>
        <v>0</v>
      </c>
      <c r="F146" s="281">
        <f>VLOOKUP(A146,DB_TBL_DATA_FIELDS[[#All],[FIELD_ID]:[RANGE_VALIDATION_MAX]],19,FALSE)</f>
        <v>1</v>
      </c>
      <c r="G146" s="281">
        <f t="shared" ca="1" si="24"/>
        <v>1</v>
      </c>
      <c r="H146" s="215"/>
      <c r="I146" s="231" t="s">
        <v>3669</v>
      </c>
      <c r="J146" s="231"/>
      <c r="K146" s="231"/>
      <c r="L146" s="231"/>
      <c r="M146" s="231"/>
      <c r="N146" s="231"/>
      <c r="O146" s="231"/>
      <c r="P146" s="231"/>
      <c r="Q146" s="231"/>
      <c r="R146" s="231"/>
      <c r="S146" s="231"/>
      <c r="T146" s="231"/>
      <c r="U146" s="231"/>
      <c r="V146" s="231"/>
      <c r="W146" s="380"/>
      <c r="X146" s="165">
        <f ca="1">G146</f>
        <v>1</v>
      </c>
      <c r="Y146" s="194"/>
    </row>
    <row r="147" spans="1:25" ht="21.95" customHeight="1" x14ac:dyDescent="0.2">
      <c r="A147" s="273" t="s">
        <v>3658</v>
      </c>
      <c r="B147" s="288" t="str">
        <f>IF(I150&lt;&gt;"",I150,"")</f>
        <v/>
      </c>
      <c r="C147" s="281">
        <f ca="1">VLOOKUP(A147,DB_TBL_DATA_FIELDS[[FIELD_ID]:[PCT_CALC_FIELD_STATUS_CODE]],22,FALSE)</f>
        <v>-1</v>
      </c>
      <c r="D147" s="281" t="str">
        <f>IF(VLOOKUP(A147,DB_TBL_DATA_FIELDS[[FIELD_ID]:[ERROR_MESSAGE]],23,FALSE)&lt;&gt;0,VLOOKUP(A147,DB_TBL_DATA_FIELDS[[FIELD_ID]:[ERROR_MESSAGE]],23,FALSE),"")</f>
        <v/>
      </c>
      <c r="E147" s="281">
        <f>VLOOKUP(A147,DB_TBL_DATA_FIELDS[[#All],[FIELD_ID]:[RANGE_VALIDATION_MAX]],18,FALSE)</f>
        <v>0</v>
      </c>
      <c r="F147" s="281">
        <f>VLOOKUP(A147,DB_TBL_DATA_FIELDS[[#All],[FIELD_ID]:[RANGE_VALIDATION_MAX]],19,FALSE)</f>
        <v>1000</v>
      </c>
      <c r="G147" s="281" t="str">
        <f t="shared" ca="1" si="24"/>
        <v/>
      </c>
      <c r="H147" s="215"/>
      <c r="I147" s="231"/>
      <c r="J147" s="231"/>
      <c r="K147" s="231"/>
      <c r="L147" s="231"/>
      <c r="M147" s="231"/>
      <c r="N147" s="231"/>
      <c r="O147" s="231"/>
      <c r="P147" s="231"/>
      <c r="Q147" s="231"/>
      <c r="R147" s="231"/>
      <c r="S147" s="231"/>
      <c r="T147" s="231"/>
      <c r="U147" s="231"/>
      <c r="V147" s="231"/>
      <c r="W147" s="231"/>
      <c r="X147" s="231"/>
      <c r="Y147" s="194"/>
    </row>
    <row r="148" spans="1:25" ht="21.95" customHeight="1" x14ac:dyDescent="0.2">
      <c r="A148" s="273" t="s">
        <v>3620</v>
      </c>
      <c r="B148" s="288" t="str">
        <f>IF(W161="","",IF(UPPER(W161)="YES",TRUE,FALSE))</f>
        <v/>
      </c>
      <c r="C148" s="281">
        <f ca="1">VLOOKUP(A148,DB_TBL_DATA_FIELDS[[FIELD_ID]:[PCT_CALC_FIELD_STATUS_CODE]],22,FALSE)</f>
        <v>1</v>
      </c>
      <c r="D148" s="281" t="str">
        <f>IF(VLOOKUP(A148,DB_TBL_DATA_FIELDS[[FIELD_ID]:[ERROR_MESSAGE]],23,FALSE)&lt;&gt;0,VLOOKUP(A148,DB_TBL_DATA_FIELDS[[FIELD_ID]:[ERROR_MESSAGE]],23,FALSE),"")</f>
        <v/>
      </c>
      <c r="E148" s="281">
        <f>VLOOKUP(A148,DB_TBL_DATA_FIELDS[[#All],[FIELD_ID]:[RANGE_VALIDATION_MAX]],18,FALSE)</f>
        <v>0</v>
      </c>
      <c r="F148" s="281">
        <f>VLOOKUP(A148,DB_TBL_DATA_FIELDS[[#All],[FIELD_ID]:[RANGE_VALIDATION_MAX]],19,FALSE)</f>
        <v>1</v>
      </c>
      <c r="G148" s="281">
        <f t="shared" ref="G148:G153" ca="1" si="25">IF(C148&lt;0,"",C148)</f>
        <v>1</v>
      </c>
      <c r="H148" s="215"/>
      <c r="I148" s="551" t="s">
        <v>3671</v>
      </c>
      <c r="J148" s="551"/>
      <c r="K148" s="551"/>
      <c r="L148" s="551"/>
      <c r="M148" s="551"/>
      <c r="N148" s="551"/>
      <c r="O148" s="551"/>
      <c r="P148" s="551"/>
      <c r="Q148" s="551"/>
      <c r="R148" s="551"/>
      <c r="S148" s="551"/>
      <c r="T148" s="551"/>
      <c r="U148" s="551"/>
      <c r="V148" s="551"/>
      <c r="W148" s="551"/>
      <c r="X148" s="153"/>
      <c r="Y148" s="194"/>
    </row>
    <row r="149" spans="1:25" ht="21.95" customHeight="1" x14ac:dyDescent="0.2">
      <c r="A149" s="273" t="s">
        <v>3621</v>
      </c>
      <c r="B149" s="288" t="str">
        <f>IF(W163="","",IF(UPPER(W163)="YES",TRUE,FALSE))</f>
        <v/>
      </c>
      <c r="C149" s="281">
        <f ca="1">VLOOKUP(A149,DB_TBL_DATA_FIELDS[[FIELD_ID]:[PCT_CALC_FIELD_STATUS_CODE]],22,FALSE)</f>
        <v>1</v>
      </c>
      <c r="D149" s="281" t="str">
        <f>IF(VLOOKUP(A149,DB_TBL_DATA_FIELDS[[FIELD_ID]:[ERROR_MESSAGE]],23,FALSE)&lt;&gt;0,VLOOKUP(A149,DB_TBL_DATA_FIELDS[[FIELD_ID]:[ERROR_MESSAGE]],23,FALSE),"")</f>
        <v/>
      </c>
      <c r="E149" s="281">
        <f>VLOOKUP(A149,DB_TBL_DATA_FIELDS[[#All],[FIELD_ID]:[RANGE_VALIDATION_MAX]],18,FALSE)</f>
        <v>0</v>
      </c>
      <c r="F149" s="281">
        <f>VLOOKUP(A149,DB_TBL_DATA_FIELDS[[#All],[FIELD_ID]:[RANGE_VALIDATION_MAX]],19,FALSE)</f>
        <v>1</v>
      </c>
      <c r="G149" s="281">
        <f t="shared" ca="1" si="25"/>
        <v>1</v>
      </c>
      <c r="H149" s="215"/>
      <c r="I149" s="632" t="s">
        <v>3670</v>
      </c>
      <c r="J149" s="632"/>
      <c r="K149" s="632"/>
      <c r="L149" s="632"/>
      <c r="M149" s="632"/>
      <c r="N149" s="632"/>
      <c r="O149" s="632"/>
      <c r="P149" s="632"/>
      <c r="Q149" s="632"/>
      <c r="R149" s="632"/>
      <c r="S149" s="632"/>
      <c r="T149" s="232"/>
      <c r="U149" s="232"/>
      <c r="V149" s="232"/>
      <c r="W149" s="175" t="str">
        <f>SUBSTITUTE(SUBSTITUTE(SUBSTITUTE(IF(LEN(B147)&gt;F147,CONFIG_CHAR_LIMIT_TEMPLATE_ERR,CONFIG_CHAR_LIMIT_TEMPLATE),"[diff]",ABS(LEN(B147)-F147)),"[limit]",F147),"[used]",LEN(B147))</f>
        <v>1000 character(s) remaining</v>
      </c>
      <c r="X149" s="153"/>
      <c r="Y149" s="194"/>
    </row>
    <row r="150" spans="1:25" ht="21.95" customHeight="1" x14ac:dyDescent="0.2">
      <c r="A150" s="273" t="s">
        <v>3622</v>
      </c>
      <c r="B150" s="288" t="str">
        <f>IF(W166="","",IF(UPPER(W166)="YES",TRUE,FALSE))</f>
        <v/>
      </c>
      <c r="C150" s="281">
        <f ca="1">VLOOKUP(A150,DB_TBL_DATA_FIELDS[[FIELD_ID]:[PCT_CALC_FIELD_STATUS_CODE]],22,FALSE)</f>
        <v>-1</v>
      </c>
      <c r="D150" s="281" t="str">
        <f>IF(VLOOKUP(A150,DB_TBL_DATA_FIELDS[[FIELD_ID]:[ERROR_MESSAGE]],23,FALSE)&lt;&gt;0,VLOOKUP(A150,DB_TBL_DATA_FIELDS[[FIELD_ID]:[ERROR_MESSAGE]],23,FALSE),"")</f>
        <v/>
      </c>
      <c r="E150" s="281">
        <f>VLOOKUP(A150,DB_TBL_DATA_FIELDS[[#All],[FIELD_ID]:[RANGE_VALIDATION_MAX]],18,FALSE)</f>
        <v>0</v>
      </c>
      <c r="F150" s="281">
        <f>VLOOKUP(A150,DB_TBL_DATA_FIELDS[[#All],[FIELD_ID]:[RANGE_VALIDATION_MAX]],19,FALSE)</f>
        <v>1</v>
      </c>
      <c r="G150" s="281" t="str">
        <f t="shared" ca="1" si="25"/>
        <v/>
      </c>
      <c r="H150" s="215"/>
      <c r="I150" s="500"/>
      <c r="J150" s="598"/>
      <c r="K150" s="598"/>
      <c r="L150" s="598"/>
      <c r="M150" s="598"/>
      <c r="N150" s="598"/>
      <c r="O150" s="598"/>
      <c r="P150" s="598"/>
      <c r="Q150" s="598"/>
      <c r="R150" s="598"/>
      <c r="S150" s="598"/>
      <c r="T150" s="598"/>
      <c r="U150" s="598"/>
      <c r="V150" s="598"/>
      <c r="W150" s="599"/>
      <c r="X150" s="165" t="str">
        <f ca="1">G147</f>
        <v/>
      </c>
      <c r="Y150" s="194"/>
    </row>
    <row r="151" spans="1:25" ht="21.95" customHeight="1" x14ac:dyDescent="0.2">
      <c r="A151" s="273" t="s">
        <v>3623</v>
      </c>
      <c r="B151" s="288" t="str">
        <f>IF(W168="","",IF(UPPER(W168)="YES",TRUE,FALSE))</f>
        <v/>
      </c>
      <c r="C151" s="281">
        <f ca="1">VLOOKUP(A151,DB_TBL_DATA_FIELDS[[FIELD_ID]:[PCT_CALC_FIELD_STATUS_CODE]],22,FALSE)</f>
        <v>-1</v>
      </c>
      <c r="D151" s="281" t="str">
        <f>IF(VLOOKUP(A151,DB_TBL_DATA_FIELDS[[FIELD_ID]:[ERROR_MESSAGE]],23,FALSE)&lt;&gt;0,VLOOKUP(A151,DB_TBL_DATA_FIELDS[[FIELD_ID]:[ERROR_MESSAGE]],23,FALSE),"")</f>
        <v/>
      </c>
      <c r="E151" s="281">
        <f>VLOOKUP(A151,DB_TBL_DATA_FIELDS[[#All],[FIELD_ID]:[RANGE_VALIDATION_MAX]],18,FALSE)</f>
        <v>0</v>
      </c>
      <c r="F151" s="281">
        <f>VLOOKUP(A151,DB_TBL_DATA_FIELDS[[#All],[FIELD_ID]:[RANGE_VALIDATION_MAX]],19,FALSE)</f>
        <v>1</v>
      </c>
      <c r="G151" s="281" t="str">
        <f t="shared" ca="1" si="25"/>
        <v/>
      </c>
      <c r="H151" s="215"/>
      <c r="I151" s="600"/>
      <c r="J151" s="601"/>
      <c r="K151" s="601"/>
      <c r="L151" s="601"/>
      <c r="M151" s="601"/>
      <c r="N151" s="601"/>
      <c r="O151" s="601"/>
      <c r="P151" s="601"/>
      <c r="Q151" s="601"/>
      <c r="R151" s="601"/>
      <c r="S151" s="601"/>
      <c r="T151" s="601"/>
      <c r="U151" s="601"/>
      <c r="V151" s="601"/>
      <c r="W151" s="602"/>
      <c r="X151" s="153"/>
      <c r="Y151" s="194"/>
    </row>
    <row r="152" spans="1:25" ht="21.95" customHeight="1" x14ac:dyDescent="0.2">
      <c r="A152" s="273" t="s">
        <v>3624</v>
      </c>
      <c r="B152" s="288" t="str">
        <f>IF(W170="","",IF(UPPER(W170)="YES",TRUE,FALSE))</f>
        <v/>
      </c>
      <c r="C152" s="281">
        <f ca="1">VLOOKUP(A152,DB_TBL_DATA_FIELDS[[FIELD_ID]:[PCT_CALC_FIELD_STATUS_CODE]],22,FALSE)</f>
        <v>-1</v>
      </c>
      <c r="D152" s="281" t="str">
        <f>IF(VLOOKUP(A152,DB_TBL_DATA_FIELDS[[FIELD_ID]:[ERROR_MESSAGE]],23,FALSE)&lt;&gt;0,VLOOKUP(A152,DB_TBL_DATA_FIELDS[[FIELD_ID]:[ERROR_MESSAGE]],23,FALSE),"")</f>
        <v/>
      </c>
      <c r="E152" s="281">
        <f>VLOOKUP(A152,DB_TBL_DATA_FIELDS[[#All],[FIELD_ID]:[RANGE_VALIDATION_MAX]],18,FALSE)</f>
        <v>0</v>
      </c>
      <c r="F152" s="281">
        <f>VLOOKUP(A152,DB_TBL_DATA_FIELDS[[#All],[FIELD_ID]:[RANGE_VALIDATION_MAX]],19,FALSE)</f>
        <v>1</v>
      </c>
      <c r="G152" s="281" t="str">
        <f t="shared" ca="1" si="25"/>
        <v/>
      </c>
      <c r="H152" s="215"/>
      <c r="I152" s="600"/>
      <c r="J152" s="601"/>
      <c r="K152" s="601"/>
      <c r="L152" s="601"/>
      <c r="M152" s="601"/>
      <c r="N152" s="601"/>
      <c r="O152" s="601"/>
      <c r="P152" s="601"/>
      <c r="Q152" s="601"/>
      <c r="R152" s="601"/>
      <c r="S152" s="601"/>
      <c r="T152" s="601"/>
      <c r="U152" s="601"/>
      <c r="V152" s="601"/>
      <c r="W152" s="602"/>
      <c r="X152" s="153"/>
      <c r="Y152" s="194"/>
    </row>
    <row r="153" spans="1:25" ht="21.95" customHeight="1" x14ac:dyDescent="0.2">
      <c r="A153" s="273" t="s">
        <v>3625</v>
      </c>
      <c r="B153" s="288" t="str">
        <f>IF(I175&lt;&gt;"",I175,"")</f>
        <v/>
      </c>
      <c r="C153" s="281">
        <f ca="1">VLOOKUP(A153,DB_TBL_DATA_FIELDS[[FIELD_ID]:[PCT_CALC_FIELD_STATUS_CODE]],22,FALSE)</f>
        <v>-1</v>
      </c>
      <c r="D153" s="281" t="str">
        <f>IF(VLOOKUP(A153,DB_TBL_DATA_FIELDS[[FIELD_ID]:[ERROR_MESSAGE]],23,FALSE)&lt;&gt;0,VLOOKUP(A153,DB_TBL_DATA_FIELDS[[FIELD_ID]:[ERROR_MESSAGE]],23,FALSE),"")</f>
        <v/>
      </c>
      <c r="E153" s="281">
        <f>VLOOKUP(A153,DB_TBL_DATA_FIELDS[[#All],[FIELD_ID]:[RANGE_VALIDATION_MAX]],18,FALSE)</f>
        <v>0</v>
      </c>
      <c r="F153" s="281">
        <f>VLOOKUP(A153,DB_TBL_DATA_FIELDS[[#All],[FIELD_ID]:[RANGE_VALIDATION_MAX]],19,FALSE)</f>
        <v>1000</v>
      </c>
      <c r="G153" s="281" t="str">
        <f t="shared" ca="1" si="25"/>
        <v/>
      </c>
      <c r="H153" s="215"/>
      <c r="I153" s="603"/>
      <c r="J153" s="604"/>
      <c r="K153" s="604"/>
      <c r="L153" s="604"/>
      <c r="M153" s="604"/>
      <c r="N153" s="604"/>
      <c r="O153" s="604"/>
      <c r="P153" s="604"/>
      <c r="Q153" s="604"/>
      <c r="R153" s="604"/>
      <c r="S153" s="604"/>
      <c r="T153" s="604"/>
      <c r="U153" s="604"/>
      <c r="V153" s="604"/>
      <c r="W153" s="605"/>
      <c r="X153" s="153"/>
      <c r="Y153" s="194"/>
    </row>
    <row r="154" spans="1:25" ht="21.95" customHeight="1" x14ac:dyDescent="0.2">
      <c r="A154" s="273" t="s">
        <v>2535</v>
      </c>
      <c r="B154" s="288" t="str">
        <f>IF(W182="","",IF(UPPER(W182)="YES",TRUE,FALSE))</f>
        <v/>
      </c>
      <c r="C154" s="281">
        <f ca="1">VLOOKUP(A154,DB_TBL_DATA_FIELDS[[FIELD_ID]:[PCT_CALC_FIELD_STATUS_CODE]],22,FALSE)</f>
        <v>1</v>
      </c>
      <c r="D154" s="281" t="str">
        <f>IF(VLOOKUP(A154,DB_TBL_DATA_FIELDS[[FIELD_ID]:[ERROR_MESSAGE]],23,FALSE)&lt;&gt;0,VLOOKUP(A154,DB_TBL_DATA_FIELDS[[FIELD_ID]:[ERROR_MESSAGE]],23,FALSE),"")</f>
        <v/>
      </c>
      <c r="E154" s="281">
        <f>VLOOKUP(A154,DB_TBL_DATA_FIELDS[[#All],[FIELD_ID]:[RANGE_VALIDATION_MAX]],18,FALSE)</f>
        <v>0</v>
      </c>
      <c r="F154" s="281">
        <f>VLOOKUP(A154,DB_TBL_DATA_FIELDS[[#All],[FIELD_ID]:[RANGE_VALIDATION_MAX]],19,FALSE)</f>
        <v>1</v>
      </c>
      <c r="G154" s="281">
        <f t="shared" ca="1" si="23"/>
        <v>1</v>
      </c>
      <c r="H154" s="215"/>
      <c r="I154" s="224"/>
      <c r="J154" s="224"/>
      <c r="K154" s="224"/>
      <c r="L154" s="224"/>
      <c r="M154" s="224"/>
      <c r="N154" s="224"/>
      <c r="O154" s="224"/>
      <c r="P154" s="153"/>
      <c r="Q154" s="194"/>
      <c r="R154" s="153"/>
      <c r="S154" s="194"/>
      <c r="T154" s="153"/>
      <c r="U154" s="194"/>
      <c r="V154" s="153"/>
      <c r="W154" s="194"/>
      <c r="X154" s="153"/>
      <c r="Y154" s="194"/>
    </row>
    <row r="155" spans="1:25" ht="21.95" customHeight="1" thickBot="1" x14ac:dyDescent="0.25">
      <c r="A155" s="273" t="s">
        <v>2536</v>
      </c>
      <c r="B155" s="288" t="str">
        <f>IF(W183="","",IF(UPPER(W183)="YES",TRUE,FALSE))</f>
        <v/>
      </c>
      <c r="C155" s="281">
        <f ca="1">VLOOKUP(A155,DB_TBL_DATA_FIELDS[[FIELD_ID]:[PCT_CALC_FIELD_STATUS_CODE]],22,FALSE)</f>
        <v>1</v>
      </c>
      <c r="D155" s="281" t="str">
        <f>IF(VLOOKUP(A155,DB_TBL_DATA_FIELDS[[FIELD_ID]:[ERROR_MESSAGE]],23,FALSE)&lt;&gt;0,VLOOKUP(A155,DB_TBL_DATA_FIELDS[[FIELD_ID]:[ERROR_MESSAGE]],23,FALSE),"")</f>
        <v/>
      </c>
      <c r="E155" s="281">
        <f>VLOOKUP(A155,DB_TBL_DATA_FIELDS[[#All],[FIELD_ID]:[RANGE_VALIDATION_MAX]],18,FALSE)</f>
        <v>0</v>
      </c>
      <c r="F155" s="281">
        <f>VLOOKUP(A155,DB_TBL_DATA_FIELDS[[#All],[FIELD_ID]:[RANGE_VALIDATION_MAX]],19,FALSE)</f>
        <v>1</v>
      </c>
      <c r="G155" s="281">
        <f t="shared" ca="1" si="23"/>
        <v>1</v>
      </c>
      <c r="H155" s="215"/>
      <c r="I155" s="216" t="s">
        <v>3632</v>
      </c>
      <c r="J155" s="222"/>
      <c r="K155" s="222"/>
      <c r="L155" s="222"/>
      <c r="M155" s="222"/>
      <c r="N155" s="222"/>
      <c r="O155" s="222"/>
      <c r="P155" s="217"/>
      <c r="Q155" s="223"/>
      <c r="R155" s="217"/>
      <c r="S155" s="223"/>
      <c r="T155" s="217"/>
      <c r="U155" s="223"/>
      <c r="V155" s="217"/>
      <c r="W155" s="223"/>
      <c r="X155" s="153"/>
      <c r="Y155" s="194"/>
    </row>
    <row r="156" spans="1:25" ht="21.95" customHeight="1" thickTop="1" x14ac:dyDescent="0.2">
      <c r="A156" s="273" t="s">
        <v>2537</v>
      </c>
      <c r="B156" s="288" t="str">
        <f>IF(W185="","",IF(UPPER(W185)="YES",TRUE,FALSE))</f>
        <v/>
      </c>
      <c r="C156" s="281">
        <f ca="1">VLOOKUP(A156,DB_TBL_DATA_FIELDS[[FIELD_ID]:[PCT_CALC_FIELD_STATUS_CODE]],22,FALSE)</f>
        <v>1</v>
      </c>
      <c r="D156" s="281" t="str">
        <f>IF(VLOOKUP(A156,DB_TBL_DATA_FIELDS[[FIELD_ID]:[ERROR_MESSAGE]],23,FALSE)&lt;&gt;0,VLOOKUP(A156,DB_TBL_DATA_FIELDS[[FIELD_ID]:[ERROR_MESSAGE]],23,FALSE),"")</f>
        <v/>
      </c>
      <c r="E156" s="281">
        <f>VLOOKUP(A156,DB_TBL_DATA_FIELDS[[#All],[FIELD_ID]:[RANGE_VALIDATION_MAX]],18,FALSE)</f>
        <v>0</v>
      </c>
      <c r="F156" s="281">
        <f>VLOOKUP(A156,DB_TBL_DATA_FIELDS[[#All],[FIELD_ID]:[RANGE_VALIDATION_MAX]],19,FALSE)</f>
        <v>1</v>
      </c>
      <c r="G156" s="281">
        <f t="shared" ca="1" si="23"/>
        <v>1</v>
      </c>
      <c r="H156" s="215"/>
      <c r="I156" s="224"/>
      <c r="J156" s="224"/>
      <c r="K156" s="224"/>
      <c r="L156" s="224"/>
      <c r="M156" s="224"/>
      <c r="N156" s="224"/>
      <c r="O156" s="224"/>
      <c r="P156" s="153"/>
      <c r="Q156" s="194"/>
      <c r="R156" s="153"/>
      <c r="S156" s="194"/>
      <c r="T156" s="153"/>
      <c r="U156" s="194"/>
      <c r="V156" s="153"/>
      <c r="W156" s="194"/>
      <c r="X156" s="153"/>
      <c r="Y156" s="194"/>
    </row>
    <row r="157" spans="1:25" ht="21.95" customHeight="1" x14ac:dyDescent="0.2">
      <c r="A157" s="273" t="s">
        <v>3721</v>
      </c>
      <c r="B157" s="288" t="str">
        <f>IF(W187="","",IF(UPPER(W187)="YES",TRUE,FALSE))</f>
        <v/>
      </c>
      <c r="C157" s="281">
        <f ca="1">VLOOKUP(A157,DB_TBL_DATA_FIELDS[[FIELD_ID]:[PCT_CALC_FIELD_STATUS_CODE]],22,FALSE)</f>
        <v>1</v>
      </c>
      <c r="D157" s="281" t="str">
        <f>IF(VLOOKUP(A157,DB_TBL_DATA_FIELDS[[FIELD_ID]:[ERROR_MESSAGE]],23,FALSE)&lt;&gt;0,VLOOKUP(A157,DB_TBL_DATA_FIELDS[[FIELD_ID]:[ERROR_MESSAGE]],23,FALSE),"")</f>
        <v/>
      </c>
      <c r="E157" s="281">
        <f>VLOOKUP(A157,DB_TBL_DATA_FIELDS[[#All],[FIELD_ID]:[RANGE_VALIDATION_MAX]],18,FALSE)</f>
        <v>0</v>
      </c>
      <c r="F157" s="281">
        <f>VLOOKUP(A157,DB_TBL_DATA_FIELDS[[#All],[FIELD_ID]:[RANGE_VALIDATION_MAX]],19,FALSE)</f>
        <v>1</v>
      </c>
      <c r="G157" s="281">
        <f t="shared" ref="G157" ca="1" si="26">IF(C157&lt;0,"",C157)</f>
        <v>1</v>
      </c>
      <c r="H157" s="215"/>
      <c r="I157" s="469" t="s">
        <v>3674</v>
      </c>
      <c r="J157" s="469"/>
      <c r="K157" s="469"/>
      <c r="L157" s="469"/>
      <c r="M157" s="469"/>
      <c r="N157" s="469"/>
      <c r="O157" s="469"/>
      <c r="P157" s="469"/>
      <c r="Q157" s="469"/>
      <c r="R157" s="469"/>
      <c r="S157" s="469"/>
      <c r="T157" s="469"/>
      <c r="U157" s="469"/>
      <c r="V157" s="469"/>
      <c r="W157" s="469"/>
      <c r="X157" s="153"/>
      <c r="Y157" s="194"/>
    </row>
    <row r="158" spans="1:25" ht="21.95" customHeight="1" x14ac:dyDescent="0.2">
      <c r="A158" s="273" t="s">
        <v>2602</v>
      </c>
      <c r="B158" s="288" t="str">
        <f>IF(W189="","",IF(UPPER(W189)="YES",TRUE,FALSE))</f>
        <v/>
      </c>
      <c r="C158" s="281">
        <f ca="1">VLOOKUP(A158,DB_TBL_DATA_FIELDS[[FIELD_ID]:[PCT_CALC_FIELD_STATUS_CODE]],22,FALSE)</f>
        <v>1</v>
      </c>
      <c r="D158" s="281" t="str">
        <f>IF(VLOOKUP(A158,DB_TBL_DATA_FIELDS[[FIELD_ID]:[ERROR_MESSAGE]],23,FALSE)&lt;&gt;0,VLOOKUP(A158,DB_TBL_DATA_FIELDS[[FIELD_ID]:[ERROR_MESSAGE]],23,FALSE),"")</f>
        <v/>
      </c>
      <c r="E158" s="281">
        <f>VLOOKUP(A158,DB_TBL_DATA_FIELDS[[#All],[FIELD_ID]:[RANGE_VALIDATION_MAX]],18,FALSE)</f>
        <v>0</v>
      </c>
      <c r="F158" s="281">
        <f>VLOOKUP(A158,DB_TBL_DATA_FIELDS[[#All],[FIELD_ID]:[RANGE_VALIDATION_MAX]],19,FALSE)</f>
        <v>1</v>
      </c>
      <c r="G158" s="281">
        <f t="shared" ref="G158" ca="1" si="27">IF(C158&lt;0,"",C158)</f>
        <v>1</v>
      </c>
      <c r="H158" s="215"/>
      <c r="I158" s="469"/>
      <c r="J158" s="469"/>
      <c r="K158" s="469"/>
      <c r="L158" s="469"/>
      <c r="M158" s="469"/>
      <c r="N158" s="469"/>
      <c r="O158" s="469"/>
      <c r="P158" s="469"/>
      <c r="Q158" s="469"/>
      <c r="R158" s="469"/>
      <c r="S158" s="469"/>
      <c r="T158" s="469"/>
      <c r="U158" s="469"/>
      <c r="V158" s="469"/>
      <c r="W158" s="469"/>
      <c r="X158" s="153"/>
      <c r="Y158" s="194"/>
    </row>
    <row r="159" spans="1:25" ht="21.95" customHeight="1" x14ac:dyDescent="0.2">
      <c r="A159" s="273" t="s">
        <v>3727</v>
      </c>
      <c r="B159" s="288" t="str">
        <f>IF(W191="","",IF(UPPER(W191)="YES",TRUE,FALSE))</f>
        <v/>
      </c>
      <c r="C159" s="281">
        <f ca="1">VLOOKUP(A159,DB_TBL_DATA_FIELDS[[FIELD_ID]:[PCT_CALC_FIELD_STATUS_CODE]],22,FALSE)</f>
        <v>1</v>
      </c>
      <c r="D159" s="281" t="str">
        <f>IF(VLOOKUP(A159,DB_TBL_DATA_FIELDS[[FIELD_ID]:[ERROR_MESSAGE]],23,FALSE)&lt;&gt;0,VLOOKUP(A159,DB_TBL_DATA_FIELDS[[FIELD_ID]:[ERROR_MESSAGE]],23,FALSE),"")</f>
        <v/>
      </c>
      <c r="E159" s="281">
        <f>VLOOKUP(A159,DB_TBL_DATA_FIELDS[[#All],[FIELD_ID]:[RANGE_VALIDATION_MAX]],18,FALSE)</f>
        <v>0</v>
      </c>
      <c r="F159" s="281">
        <f>VLOOKUP(A159,DB_TBL_DATA_FIELDS[[#All],[FIELD_ID]:[RANGE_VALIDATION_MAX]],19,FALSE)</f>
        <v>1</v>
      </c>
      <c r="G159" s="281">
        <f t="shared" ref="G159:G160" ca="1" si="28">IF(C159&lt;0,"",C159)</f>
        <v>1</v>
      </c>
      <c r="H159" s="215"/>
      <c r="I159" s="469"/>
      <c r="J159" s="469"/>
      <c r="K159" s="469"/>
      <c r="L159" s="469"/>
      <c r="M159" s="469"/>
      <c r="N159" s="469"/>
      <c r="O159" s="469"/>
      <c r="P159" s="469"/>
      <c r="Q159" s="469"/>
      <c r="R159" s="469"/>
      <c r="S159" s="469"/>
      <c r="T159" s="469"/>
      <c r="U159" s="469"/>
      <c r="V159" s="469"/>
      <c r="W159" s="469"/>
      <c r="X159" s="153"/>
      <c r="Y159" s="194"/>
    </row>
    <row r="160" spans="1:25" ht="21.95" customHeight="1" x14ac:dyDescent="0.2">
      <c r="A160" s="273" t="s">
        <v>3728</v>
      </c>
      <c r="B160" s="288" t="str">
        <f>IF(W193="","",IF(UPPER(W193)="YES",TRUE,FALSE))</f>
        <v/>
      </c>
      <c r="C160" s="281">
        <f ca="1">VLOOKUP(A160,DB_TBL_DATA_FIELDS[[FIELD_ID]:[PCT_CALC_FIELD_STATUS_CODE]],22,FALSE)</f>
        <v>1</v>
      </c>
      <c r="D160" s="281" t="str">
        <f>IF(VLOOKUP(A160,DB_TBL_DATA_FIELDS[[FIELD_ID]:[ERROR_MESSAGE]],23,FALSE)&lt;&gt;0,VLOOKUP(A160,DB_TBL_DATA_FIELDS[[FIELD_ID]:[ERROR_MESSAGE]],23,FALSE),"")</f>
        <v/>
      </c>
      <c r="E160" s="281">
        <f>VLOOKUP(A160,DB_TBL_DATA_FIELDS[[#All],[FIELD_ID]:[RANGE_VALIDATION_MAX]],18,FALSE)</f>
        <v>0</v>
      </c>
      <c r="F160" s="281">
        <f>VLOOKUP(A160,DB_TBL_DATA_FIELDS[[#All],[FIELD_ID]:[RANGE_VALIDATION_MAX]],19,FALSE)</f>
        <v>1</v>
      </c>
      <c r="G160" s="281">
        <f t="shared" ca="1" si="28"/>
        <v>1</v>
      </c>
      <c r="H160" s="215"/>
      <c r="I160" s="469"/>
      <c r="J160" s="469"/>
      <c r="K160" s="469"/>
      <c r="L160" s="469"/>
      <c r="M160" s="469"/>
      <c r="N160" s="469"/>
      <c r="O160" s="469"/>
      <c r="P160" s="469"/>
      <c r="Q160" s="469"/>
      <c r="R160" s="469"/>
      <c r="S160" s="469"/>
      <c r="T160" s="469"/>
      <c r="U160" s="469"/>
      <c r="V160" s="469"/>
      <c r="W160" s="469"/>
      <c r="X160" s="153"/>
      <c r="Y160" s="194"/>
    </row>
    <row r="161" spans="1:25" ht="21.95" customHeight="1" x14ac:dyDescent="0.2">
      <c r="A161" s="273" t="s">
        <v>2538</v>
      </c>
      <c r="B161" s="288" t="str">
        <f>IF(I196&lt;&gt;"",I196,"")</f>
        <v/>
      </c>
      <c r="C161" s="281">
        <f ca="1">VLOOKUP(A161,DB_TBL_DATA_FIELDS[[FIELD_ID]:[PCT_CALC_FIELD_STATUS_CODE]],22,FALSE)</f>
        <v>-1</v>
      </c>
      <c r="D161" s="281" t="str">
        <f>IF(VLOOKUP(A161,DB_TBL_DATA_FIELDS[[FIELD_ID]:[ERROR_MESSAGE]],23,FALSE)&lt;&gt;0,VLOOKUP(A161,DB_TBL_DATA_FIELDS[[FIELD_ID]:[ERROR_MESSAGE]],23,FALSE),"")</f>
        <v/>
      </c>
      <c r="E161" s="281">
        <f>VLOOKUP(A161,DB_TBL_DATA_FIELDS[[#All],[FIELD_ID]:[RANGE_VALIDATION_MAX]],18,FALSE)</f>
        <v>0</v>
      </c>
      <c r="F161" s="281">
        <f>VLOOKUP(A161,DB_TBL_DATA_FIELDS[[#All],[FIELD_ID]:[RANGE_VALIDATION_MAX]],19,FALSE)</f>
        <v>1000</v>
      </c>
      <c r="G161" s="281" t="str">
        <f t="shared" ca="1" si="23"/>
        <v/>
      </c>
      <c r="H161" s="215"/>
      <c r="I161" s="633" t="s">
        <v>3633</v>
      </c>
      <c r="J161" s="633"/>
      <c r="K161" s="633"/>
      <c r="L161" s="633"/>
      <c r="M161" s="633"/>
      <c r="N161" s="633"/>
      <c r="O161" s="633"/>
      <c r="P161" s="633"/>
      <c r="Q161" s="633"/>
      <c r="R161" s="633"/>
      <c r="S161" s="633"/>
      <c r="T161" s="633"/>
      <c r="U161" s="633"/>
      <c r="V161" s="204"/>
      <c r="W161" s="377"/>
      <c r="X161" s="165">
        <f ca="1">G148</f>
        <v>1</v>
      </c>
      <c r="Y161" s="194"/>
    </row>
    <row r="162" spans="1:25" ht="21.95" customHeight="1" x14ac:dyDescent="0.2">
      <c r="A162" s="273" t="s">
        <v>2539</v>
      </c>
      <c r="B162" s="288" t="str">
        <f>IF(I219&lt;&gt;"",I219,"")</f>
        <v/>
      </c>
      <c r="C162" s="281">
        <f ca="1">VLOOKUP(A162,DB_TBL_DATA_FIELDS[[FIELD_ID]:[PCT_CALC_FIELD_STATUS_CODE]],22,FALSE)</f>
        <v>1</v>
      </c>
      <c r="D162" s="281" t="str">
        <f>IF(VLOOKUP(A162,DB_TBL_DATA_FIELDS[[FIELD_ID]:[ERROR_MESSAGE]],23,FALSE)&lt;&gt;0,VLOOKUP(A162,DB_TBL_DATA_FIELDS[[FIELD_ID]:[ERROR_MESSAGE]],23,FALSE),"")</f>
        <v/>
      </c>
      <c r="E162" s="281">
        <f>VLOOKUP(A162,DB_TBL_DATA_FIELDS[[#All],[FIELD_ID]:[RANGE_VALIDATION_MAX]],18,FALSE)</f>
        <v>0</v>
      </c>
      <c r="F162" s="281">
        <f>VLOOKUP(A162,DB_TBL_DATA_FIELDS[[#All],[FIELD_ID]:[RANGE_VALIDATION_MAX]],19,FALSE)</f>
        <v>2000</v>
      </c>
      <c r="G162" s="281">
        <f t="shared" ref="G162" ca="1" si="29">IF(C162&lt;0,"",C162)</f>
        <v>1</v>
      </c>
      <c r="H162" s="215"/>
      <c r="I162" s="633"/>
      <c r="J162" s="633"/>
      <c r="K162" s="633"/>
      <c r="L162" s="633"/>
      <c r="M162" s="633"/>
      <c r="N162" s="633"/>
      <c r="O162" s="633"/>
      <c r="P162" s="633"/>
      <c r="Q162" s="633"/>
      <c r="R162" s="633"/>
      <c r="S162" s="633"/>
      <c r="T162" s="633"/>
      <c r="U162" s="633"/>
      <c r="V162" s="153"/>
      <c r="W162" s="194"/>
      <c r="X162" s="153"/>
      <c r="Y162" s="194"/>
    </row>
    <row r="163" spans="1:25" ht="21.95" customHeight="1" x14ac:dyDescent="0.2">
      <c r="A163" s="273" t="s">
        <v>2540</v>
      </c>
      <c r="B163" s="288" t="str">
        <f>IF(I232&lt;&gt;"",I232,"")</f>
        <v/>
      </c>
      <c r="C163" s="281">
        <f ca="1">VLOOKUP(A163,DB_TBL_DATA_FIELDS[[FIELD_ID]:[PCT_CALC_FIELD_STATUS_CODE]],22,FALSE)</f>
        <v>1</v>
      </c>
      <c r="D163" s="281" t="str">
        <f>IF(VLOOKUP(A163,DB_TBL_DATA_FIELDS[[FIELD_ID]:[ERROR_MESSAGE]],23,FALSE)&lt;&gt;0,VLOOKUP(A163,DB_TBL_DATA_FIELDS[[FIELD_ID]:[ERROR_MESSAGE]],23,FALSE),"")</f>
        <v/>
      </c>
      <c r="E163" s="281">
        <f>VLOOKUP(A163,DB_TBL_DATA_FIELDS[[#All],[FIELD_ID]:[RANGE_VALIDATION_MAX]],18,FALSE)</f>
        <v>0</v>
      </c>
      <c r="F163" s="281">
        <f>VLOOKUP(A163,DB_TBL_DATA_FIELDS[[#All],[FIELD_ID]:[RANGE_VALIDATION_MAX]],19,FALSE)</f>
        <v>2000</v>
      </c>
      <c r="G163" s="281">
        <f t="shared" ca="1" si="22"/>
        <v>1</v>
      </c>
      <c r="H163" s="215"/>
      <c r="I163" s="633" t="s">
        <v>3650</v>
      </c>
      <c r="J163" s="633"/>
      <c r="K163" s="633"/>
      <c r="L163" s="633"/>
      <c r="M163" s="633"/>
      <c r="N163" s="633"/>
      <c r="O163" s="633"/>
      <c r="P163" s="633"/>
      <c r="Q163" s="633"/>
      <c r="R163" s="633"/>
      <c r="S163" s="633"/>
      <c r="T163" s="633"/>
      <c r="U163" s="633"/>
      <c r="V163" s="204"/>
      <c r="W163" s="377"/>
      <c r="X163" s="165">
        <f ca="1">G149</f>
        <v>1</v>
      </c>
      <c r="Y163" s="194"/>
    </row>
    <row r="164" spans="1:25" ht="21.95" customHeight="1" x14ac:dyDescent="0.2">
      <c r="A164" s="290" t="s">
        <v>265</v>
      </c>
      <c r="B164" s="282" t="str">
        <f>"C"&amp;MATCH(LEFT(A164,LEN(A164)-LEN("_RANGE")),A:A,0)+1&amp;":C"&amp;(ROW()-1)</f>
        <v>C126:C163</v>
      </c>
      <c r="C164" s="281"/>
      <c r="D164" s="281"/>
      <c r="E164" s="281"/>
      <c r="F164" s="281"/>
      <c r="G164" s="281"/>
      <c r="H164" s="215"/>
      <c r="I164" s="633"/>
      <c r="J164" s="633"/>
      <c r="K164" s="633"/>
      <c r="L164" s="633"/>
      <c r="M164" s="633"/>
      <c r="N164" s="633"/>
      <c r="O164" s="633"/>
      <c r="P164" s="633"/>
      <c r="Q164" s="633"/>
      <c r="R164" s="633"/>
      <c r="S164" s="633"/>
      <c r="T164" s="633"/>
      <c r="U164" s="633"/>
      <c r="V164" s="153"/>
      <c r="W164" s="194"/>
      <c r="X164" s="153"/>
      <c r="Y164" s="194"/>
    </row>
    <row r="165" spans="1:25" ht="21.95" customHeight="1" x14ac:dyDescent="0.2">
      <c r="A165" s="290" t="s">
        <v>266</v>
      </c>
      <c r="B165" s="282">
        <f ca="1">COUNTIF(INDIRECT($B164),2)</f>
        <v>0</v>
      </c>
      <c r="C165" s="281"/>
      <c r="D165" s="281"/>
      <c r="E165" s="281"/>
      <c r="F165" s="281"/>
      <c r="G165" s="281"/>
      <c r="H165" s="215"/>
      <c r="I165" s="237" t="s">
        <v>3637</v>
      </c>
      <c r="J165" s="224"/>
      <c r="K165" s="224"/>
      <c r="L165" s="224"/>
      <c r="M165" s="224"/>
      <c r="N165" s="224"/>
      <c r="O165" s="224"/>
      <c r="P165" s="153"/>
      <c r="Q165" s="194"/>
      <c r="R165" s="153"/>
      <c r="S165" s="194"/>
      <c r="T165" s="153"/>
      <c r="U165" s="194"/>
      <c r="V165" s="153"/>
      <c r="W165" s="194"/>
      <c r="X165" s="153"/>
      <c r="Y165" s="194"/>
    </row>
    <row r="166" spans="1:25" ht="21.95" customHeight="1" x14ac:dyDescent="0.2">
      <c r="A166" s="290" t="s">
        <v>267</v>
      </c>
      <c r="B166" s="282">
        <f ca="1">COUNTIF(INDIRECT($B164),0)+COUNTIF(INDIRECT($B164),1)+COUNTIF(INDIRECT($B164),2)</f>
        <v>24</v>
      </c>
      <c r="C166" s="281"/>
      <c r="D166" s="281"/>
      <c r="E166" s="281"/>
      <c r="F166" s="281"/>
      <c r="G166" s="281"/>
      <c r="H166" s="215"/>
      <c r="I166" s="633" t="s">
        <v>3634</v>
      </c>
      <c r="J166" s="633"/>
      <c r="K166" s="633"/>
      <c r="L166" s="633"/>
      <c r="M166" s="633"/>
      <c r="N166" s="633"/>
      <c r="O166" s="633"/>
      <c r="P166" s="633"/>
      <c r="Q166" s="633"/>
      <c r="R166" s="633"/>
      <c r="S166" s="633"/>
      <c r="T166" s="633"/>
      <c r="U166" s="633"/>
      <c r="V166" s="204"/>
      <c r="W166" s="377"/>
      <c r="X166" s="165" t="str">
        <f ca="1">G150</f>
        <v/>
      </c>
      <c r="Y166" s="194"/>
    </row>
    <row r="167" spans="1:25" ht="21.95" customHeight="1" x14ac:dyDescent="0.2">
      <c r="A167" s="290" t="s">
        <v>268</v>
      </c>
      <c r="B167" s="282">
        <f ca="1">COUNTIF(INDIRECT($B164),0)</f>
        <v>0</v>
      </c>
      <c r="C167" s="281" t="s">
        <v>2607</v>
      </c>
      <c r="D167" s="281"/>
      <c r="E167" s="281"/>
      <c r="F167" s="281"/>
      <c r="G167" s="281"/>
      <c r="H167" s="215"/>
      <c r="I167" s="633"/>
      <c r="J167" s="633"/>
      <c r="K167" s="633"/>
      <c r="L167" s="633"/>
      <c r="M167" s="633"/>
      <c r="N167" s="633"/>
      <c r="O167" s="633"/>
      <c r="P167" s="633"/>
      <c r="Q167" s="633"/>
      <c r="R167" s="633"/>
      <c r="S167" s="633"/>
      <c r="T167" s="633"/>
      <c r="U167" s="633"/>
      <c r="V167" s="153"/>
      <c r="W167" s="194"/>
      <c r="X167" s="153"/>
      <c r="Y167" s="194"/>
    </row>
    <row r="168" spans="1:25" ht="21.95" customHeight="1" x14ac:dyDescent="0.2">
      <c r="A168" s="290" t="s">
        <v>269</v>
      </c>
      <c r="B168" s="291">
        <f ca="1">IFERROR(B165/B166,1.01)</f>
        <v>0</v>
      </c>
      <c r="C168" s="281"/>
      <c r="D168" s="281"/>
      <c r="E168" s="281"/>
      <c r="F168" s="281"/>
      <c r="G168" s="281"/>
      <c r="H168" s="215"/>
      <c r="I168" s="633" t="s">
        <v>3635</v>
      </c>
      <c r="J168" s="633"/>
      <c r="K168" s="633"/>
      <c r="L168" s="633"/>
      <c r="M168" s="633"/>
      <c r="N168" s="633"/>
      <c r="O168" s="633"/>
      <c r="P168" s="633"/>
      <c r="Q168" s="633"/>
      <c r="R168" s="633"/>
      <c r="S168" s="633"/>
      <c r="T168" s="633"/>
      <c r="U168" s="633"/>
      <c r="V168" s="204"/>
      <c r="W168" s="377"/>
      <c r="X168" s="165" t="str">
        <f ca="1">G151</f>
        <v/>
      </c>
      <c r="Y168" s="194"/>
    </row>
    <row r="169" spans="1:25" ht="21.95" customHeight="1" x14ac:dyDescent="0.2">
      <c r="A169" s="290" t="s">
        <v>270</v>
      </c>
      <c r="B169" s="292" t="str">
        <f ca="1">IF(B167&gt;0,"Data Error(s)",IF(B168=0,"Not Started",IF(B168&lt;1,ROUNDUP(B168*100,0)&amp;"% Done",IF(B168&gt;1,"Optional","Complete"))))</f>
        <v>Not Started</v>
      </c>
      <c r="C169" s="281"/>
      <c r="D169" s="281"/>
      <c r="E169" s="281"/>
      <c r="F169" s="281"/>
      <c r="G169" s="281"/>
      <c r="H169" s="215"/>
      <c r="I169" s="633"/>
      <c r="J169" s="633"/>
      <c r="K169" s="633"/>
      <c r="L169" s="633"/>
      <c r="M169" s="633"/>
      <c r="N169" s="633"/>
      <c r="O169" s="633"/>
      <c r="P169" s="633"/>
      <c r="Q169" s="633"/>
      <c r="R169" s="633"/>
      <c r="S169" s="633"/>
      <c r="T169" s="633"/>
      <c r="U169" s="633"/>
      <c r="V169" s="153"/>
      <c r="W169" s="194"/>
      <c r="X169" s="153"/>
      <c r="Y169" s="194"/>
    </row>
    <row r="170" spans="1:25" ht="21.95" customHeight="1" x14ac:dyDescent="0.2">
      <c r="A170" s="290" t="s">
        <v>271</v>
      </c>
      <c r="B170" s="282" t="str">
        <f ca="1">IF(B167&gt;0,0,IF(B168&lt;1,"",2))</f>
        <v/>
      </c>
      <c r="C170" s="281"/>
      <c r="D170" s="281"/>
      <c r="E170" s="281"/>
      <c r="F170" s="281"/>
      <c r="G170" s="281"/>
      <c r="H170" s="215"/>
      <c r="I170" s="633" t="s">
        <v>3636</v>
      </c>
      <c r="J170" s="633"/>
      <c r="K170" s="633"/>
      <c r="L170" s="633"/>
      <c r="M170" s="633"/>
      <c r="N170" s="633"/>
      <c r="O170" s="633"/>
      <c r="P170" s="633"/>
      <c r="Q170" s="633"/>
      <c r="R170" s="633"/>
      <c r="S170" s="633"/>
      <c r="T170" s="633"/>
      <c r="U170" s="633"/>
      <c r="V170" s="204"/>
      <c r="W170" s="377"/>
      <c r="X170" s="165" t="str">
        <f ca="1">G152</f>
        <v/>
      </c>
      <c r="Y170" s="194"/>
    </row>
    <row r="171" spans="1:25" ht="21.95" customHeight="1" x14ac:dyDescent="0.2">
      <c r="A171" s="290" t="s">
        <v>272</v>
      </c>
      <c r="B171" s="293" t="s">
        <v>2584</v>
      </c>
      <c r="C171" s="281"/>
      <c r="D171" s="281"/>
      <c r="E171" s="281"/>
      <c r="F171" s="281"/>
      <c r="G171" s="281"/>
      <c r="H171" s="215"/>
      <c r="I171" s="633"/>
      <c r="J171" s="633"/>
      <c r="K171" s="633"/>
      <c r="L171" s="633"/>
      <c r="M171" s="633"/>
      <c r="N171" s="633"/>
      <c r="O171" s="633"/>
      <c r="P171" s="633"/>
      <c r="Q171" s="633"/>
      <c r="R171" s="633"/>
      <c r="S171" s="633"/>
      <c r="T171" s="633"/>
      <c r="U171" s="633"/>
      <c r="V171" s="153"/>
      <c r="W171" s="194"/>
      <c r="X171" s="153"/>
      <c r="Y171" s="194"/>
    </row>
    <row r="172" spans="1:25" ht="21.95" customHeight="1" x14ac:dyDescent="0.2">
      <c r="A172" s="294" t="s">
        <v>2358</v>
      </c>
      <c r="B172" s="282">
        <v>0</v>
      </c>
      <c r="C172" s="281" t="s">
        <v>2462</v>
      </c>
      <c r="D172" s="281"/>
      <c r="E172" s="281"/>
      <c r="F172" s="281"/>
      <c r="G172" s="281"/>
      <c r="H172" s="215"/>
      <c r="I172" s="649" t="s">
        <v>3638</v>
      </c>
      <c r="J172" s="649"/>
      <c r="K172" s="649"/>
      <c r="L172" s="649"/>
      <c r="M172" s="649"/>
      <c r="N172" s="649"/>
      <c r="O172" s="649"/>
      <c r="P172" s="649"/>
      <c r="Q172" s="649"/>
      <c r="R172" s="649"/>
      <c r="S172" s="649"/>
      <c r="T172" s="649"/>
      <c r="U172" s="649"/>
      <c r="V172" s="649"/>
      <c r="W172" s="649"/>
      <c r="X172" s="153"/>
      <c r="Y172" s="194"/>
    </row>
    <row r="173" spans="1:25" ht="21.95" customHeight="1" x14ac:dyDescent="0.2">
      <c r="A173" s="294" t="s">
        <v>2359</v>
      </c>
      <c r="B173" s="282" t="b">
        <f>(B172&gt;0)</f>
        <v>0</v>
      </c>
      <c r="C173" s="281"/>
      <c r="D173" s="281"/>
      <c r="E173" s="281"/>
      <c r="F173" s="281"/>
      <c r="G173" s="281"/>
      <c r="H173" s="215"/>
      <c r="I173" s="649"/>
      <c r="J173" s="649"/>
      <c r="K173" s="649"/>
      <c r="L173" s="649"/>
      <c r="M173" s="649"/>
      <c r="N173" s="649"/>
      <c r="O173" s="649"/>
      <c r="P173" s="649"/>
      <c r="Q173" s="649"/>
      <c r="R173" s="649"/>
      <c r="S173" s="649"/>
      <c r="T173" s="649"/>
      <c r="U173" s="649"/>
      <c r="V173" s="649"/>
      <c r="W173" s="649"/>
      <c r="X173" s="153"/>
      <c r="Y173" s="194"/>
    </row>
    <row r="174" spans="1:25" ht="21.95" customHeight="1" x14ac:dyDescent="0.2">
      <c r="A174" s="285" t="s">
        <v>276</v>
      </c>
      <c r="B174" s="305" t="s">
        <v>2630</v>
      </c>
      <c r="C174" s="287"/>
      <c r="D174" s="287"/>
      <c r="E174" s="287"/>
      <c r="F174" s="287"/>
      <c r="G174" s="172" t="str">
        <f>B191</f>
        <v>Timing and Use of Funds</v>
      </c>
      <c r="H174" s="215"/>
      <c r="I174" s="232"/>
      <c r="J174" s="224"/>
      <c r="K174" s="224"/>
      <c r="L174" s="224"/>
      <c r="M174" s="224"/>
      <c r="N174" s="224"/>
      <c r="O174" s="224"/>
      <c r="P174" s="153"/>
      <c r="Q174" s="194"/>
      <c r="R174" s="153"/>
      <c r="S174" s="194"/>
      <c r="T174" s="153"/>
      <c r="U174" s="194"/>
      <c r="V174" s="153"/>
      <c r="W174" s="175" t="str">
        <f>SUBSTITUTE(SUBSTITUTE(SUBSTITUTE(IF(LEN(B153)&gt;F153,CONFIG_CHAR_LIMIT_TEMPLATE_ERR,CONFIG_CHAR_LIMIT_TEMPLATE),"[diff]",ABS(LEN(B153)-F153)),"[limit]",F153),"[used]",LEN(B153))</f>
        <v>1000 character(s) remaining</v>
      </c>
      <c r="X174" s="153"/>
      <c r="Y174" s="194"/>
    </row>
    <row r="175" spans="1:25" ht="21.95" customHeight="1" x14ac:dyDescent="0.2">
      <c r="A175" s="273" t="s">
        <v>2608</v>
      </c>
      <c r="B175" s="288" t="str">
        <f>IF(U245&lt;&gt;"",U245,"")</f>
        <v/>
      </c>
      <c r="C175" s="281">
        <f ca="1">VLOOKUP(A175,DB_TBL_DATA_FIELDS[[FIELD_ID]:[PCT_CALC_FIELD_STATUS_CODE]],22,FALSE)</f>
        <v>1</v>
      </c>
      <c r="D175" s="281" t="str">
        <f>IF(VLOOKUP(A175,DB_TBL_DATA_FIELDS[[FIELD_ID]:[ERROR_MESSAGE]],23,FALSE)&lt;&gt;0,VLOOKUP(A175,DB_TBL_DATA_FIELDS[[FIELD_ID]:[ERROR_MESSAGE]],23,FALSE),"")</f>
        <v/>
      </c>
      <c r="E175" s="281">
        <f>VLOOKUP(A175,DB_TBL_DATA_FIELDS[[#All],[FIELD_ID]:[RANGE_VALIDATION_MAX]],18,FALSE)</f>
        <v>0</v>
      </c>
      <c r="F175" s="281">
        <f>VLOOKUP(A175,DB_TBL_DATA_FIELDS[[#All],[FIELD_ID]:[RANGE_VALIDATION_MAX]],19,FALSE)</f>
        <v>20</v>
      </c>
      <c r="G175" s="281">
        <f ca="1">IF(C175&lt;0,"",C175)</f>
        <v>1</v>
      </c>
      <c r="H175" s="215"/>
      <c r="I175" s="500"/>
      <c r="J175" s="652"/>
      <c r="K175" s="652"/>
      <c r="L175" s="652"/>
      <c r="M175" s="652"/>
      <c r="N175" s="652"/>
      <c r="O175" s="652"/>
      <c r="P175" s="652"/>
      <c r="Q175" s="652"/>
      <c r="R175" s="652"/>
      <c r="S175" s="652"/>
      <c r="T175" s="652"/>
      <c r="U175" s="652"/>
      <c r="V175" s="652"/>
      <c r="W175" s="653"/>
      <c r="X175" s="165" t="str">
        <f ca="1">G153</f>
        <v/>
      </c>
      <c r="Y175" s="194"/>
    </row>
    <row r="176" spans="1:25" ht="21.95" customHeight="1" x14ac:dyDescent="0.2">
      <c r="A176" s="273" t="s">
        <v>2609</v>
      </c>
      <c r="B176" s="288" t="str">
        <f>IF(U246&lt;&gt;"",U246,"")</f>
        <v/>
      </c>
      <c r="C176" s="281">
        <f ca="1">VLOOKUP(A176,DB_TBL_DATA_FIELDS[[FIELD_ID]:[PCT_CALC_FIELD_STATUS_CODE]],22,FALSE)</f>
        <v>1</v>
      </c>
      <c r="D176" s="281" t="str">
        <f>IF(VLOOKUP(A176,DB_TBL_DATA_FIELDS[[FIELD_ID]:[ERROR_MESSAGE]],23,FALSE)&lt;&gt;0,VLOOKUP(A176,DB_TBL_DATA_FIELDS[[FIELD_ID]:[ERROR_MESSAGE]],23,FALSE),"")</f>
        <v/>
      </c>
      <c r="E176" s="281">
        <f>VLOOKUP(A176,DB_TBL_DATA_FIELDS[[#All],[FIELD_ID]:[RANGE_VALIDATION_MAX]],18,FALSE)</f>
        <v>0</v>
      </c>
      <c r="F176" s="281">
        <f>VLOOKUP(A176,DB_TBL_DATA_FIELDS[[#All],[FIELD_ID]:[RANGE_VALIDATION_MAX]],19,FALSE)</f>
        <v>20</v>
      </c>
      <c r="G176" s="281">
        <f t="shared" ref="G176:G182" ca="1" si="30">IF(C176&lt;0,"",C176)</f>
        <v>1</v>
      </c>
      <c r="H176" s="215"/>
      <c r="I176" s="654"/>
      <c r="J176" s="655"/>
      <c r="K176" s="655"/>
      <c r="L176" s="655"/>
      <c r="M176" s="655"/>
      <c r="N176" s="655"/>
      <c r="O176" s="655"/>
      <c r="P176" s="655"/>
      <c r="Q176" s="655"/>
      <c r="R176" s="655"/>
      <c r="S176" s="655"/>
      <c r="T176" s="655"/>
      <c r="U176" s="655"/>
      <c r="V176" s="655"/>
      <c r="W176" s="656"/>
      <c r="X176" s="153"/>
      <c r="Y176" s="194"/>
    </row>
    <row r="177" spans="1:25" ht="21.95" customHeight="1" x14ac:dyDescent="0.2">
      <c r="A177" s="273" t="s">
        <v>2610</v>
      </c>
      <c r="B177" s="288" t="str">
        <f>IF(W247="","",IF(UPPER(W247)="YES",TRUE,FALSE))</f>
        <v/>
      </c>
      <c r="C177" s="281">
        <f ca="1">VLOOKUP(A177,DB_TBL_DATA_FIELDS[[FIELD_ID]:[PCT_CALC_FIELD_STATUS_CODE]],22,FALSE)</f>
        <v>1</v>
      </c>
      <c r="D177" s="281" t="str">
        <f>IF(VLOOKUP(A177,DB_TBL_DATA_FIELDS[[FIELD_ID]:[ERROR_MESSAGE]],23,FALSE)&lt;&gt;0,VLOOKUP(A177,DB_TBL_DATA_FIELDS[[FIELD_ID]:[ERROR_MESSAGE]],23,FALSE),"")</f>
        <v/>
      </c>
      <c r="E177" s="281">
        <f>VLOOKUP(A177,DB_TBL_DATA_FIELDS[[#All],[FIELD_ID]:[RANGE_VALIDATION_MAX]],18,FALSE)</f>
        <v>0</v>
      </c>
      <c r="F177" s="281">
        <f>VLOOKUP(A177,DB_TBL_DATA_FIELDS[[#All],[FIELD_ID]:[RANGE_VALIDATION_MAX]],19,FALSE)</f>
        <v>1</v>
      </c>
      <c r="G177" s="281">
        <f t="shared" ca="1" si="30"/>
        <v>1</v>
      </c>
      <c r="H177" s="215"/>
      <c r="I177" s="657"/>
      <c r="J177" s="658"/>
      <c r="K177" s="658"/>
      <c r="L177" s="658"/>
      <c r="M177" s="658"/>
      <c r="N177" s="658"/>
      <c r="O177" s="658"/>
      <c r="P177" s="658"/>
      <c r="Q177" s="658"/>
      <c r="R177" s="658"/>
      <c r="S177" s="658"/>
      <c r="T177" s="658"/>
      <c r="U177" s="658"/>
      <c r="V177" s="658"/>
      <c r="W177" s="659"/>
      <c r="X177" s="153"/>
      <c r="Y177" s="194"/>
    </row>
    <row r="178" spans="1:25" ht="21.95" customHeight="1" x14ac:dyDescent="0.2">
      <c r="A178" s="273" t="s">
        <v>3616</v>
      </c>
      <c r="B178" s="288" t="str">
        <f>IF(U250&lt;&gt;"",U250,"")</f>
        <v/>
      </c>
      <c r="C178" s="281">
        <f ca="1">VLOOKUP(A178,DB_TBL_DATA_FIELDS[[FIELD_ID]:[PCT_CALC_FIELD_STATUS_CODE]],22,FALSE)</f>
        <v>1</v>
      </c>
      <c r="D178" s="281" t="str">
        <f>IF(VLOOKUP(A178,DB_TBL_DATA_FIELDS[[FIELD_ID]:[ERROR_MESSAGE]],23,FALSE)&lt;&gt;0,VLOOKUP(A178,DB_TBL_DATA_FIELDS[[FIELD_ID]:[ERROR_MESSAGE]],23,FALSE),"")</f>
        <v/>
      </c>
      <c r="E178" s="281">
        <f>VLOOKUP(A178,DB_TBL_DATA_FIELDS[[#All],[FIELD_ID]:[RANGE_VALIDATION_MAX]],18,FALSE)</f>
        <v>0</v>
      </c>
      <c r="F178" s="281">
        <f>VLOOKUP(A178,DB_TBL_DATA_FIELDS[[#All],[FIELD_ID]:[RANGE_VALIDATION_MAX]],19,FALSE)</f>
        <v>32767</v>
      </c>
      <c r="G178" s="281">
        <f t="shared" ref="G178:G179" ca="1" si="31">IF(C178&lt;0,"",C178)</f>
        <v>1</v>
      </c>
      <c r="H178" s="215"/>
      <c r="I178" s="650" t="s">
        <v>3639</v>
      </c>
      <c r="J178" s="650"/>
      <c r="K178" s="650"/>
      <c r="L178" s="650"/>
      <c r="M178" s="650"/>
      <c r="N178" s="650"/>
      <c r="O178" s="650"/>
      <c r="P178" s="650"/>
      <c r="Q178" s="650"/>
      <c r="R178" s="650"/>
      <c r="S178" s="650"/>
      <c r="T178" s="650"/>
      <c r="U178" s="650"/>
      <c r="V178" s="650"/>
      <c r="W178" s="650"/>
      <c r="X178" s="153"/>
      <c r="Y178" s="194"/>
    </row>
    <row r="179" spans="1:25" ht="21.95" customHeight="1" x14ac:dyDescent="0.2">
      <c r="A179" s="273" t="s">
        <v>3617</v>
      </c>
      <c r="B179" s="288" t="str">
        <f>IF(U251&lt;&gt;"",U251,"")</f>
        <v/>
      </c>
      <c r="C179" s="281">
        <f ca="1">VLOOKUP(A179,DB_TBL_DATA_FIELDS[[FIELD_ID]:[PCT_CALC_FIELD_STATUS_CODE]],22,FALSE)</f>
        <v>1</v>
      </c>
      <c r="D179" s="281" t="str">
        <f ca="1">IF(VLOOKUP(A179,DB_TBL_DATA_FIELDS[[FIELD_ID]:[ERROR_MESSAGE]],23,FALSE)&lt;&gt;0,VLOOKUP(A179,DB_TBL_DATA_FIELDS[[FIELD_ID]:[ERROR_MESSAGE]],23,FALSE),"")</f>
        <v/>
      </c>
      <c r="E179" s="281">
        <f>VLOOKUP(A179,DB_TBL_DATA_FIELDS[[#All],[FIELD_ID]:[RANGE_VALIDATION_MAX]],18,FALSE)</f>
        <v>0</v>
      </c>
      <c r="F179" s="281">
        <f>VLOOKUP(A179,DB_TBL_DATA_FIELDS[[#All],[FIELD_ID]:[RANGE_VALIDATION_MAX]],19,FALSE)</f>
        <v>32767</v>
      </c>
      <c r="G179" s="281">
        <f t="shared" ca="1" si="31"/>
        <v>1</v>
      </c>
      <c r="H179" s="215"/>
      <c r="I179" s="651"/>
      <c r="J179" s="651"/>
      <c r="K179" s="651"/>
      <c r="L179" s="651"/>
      <c r="M179" s="651"/>
      <c r="N179" s="651"/>
      <c r="O179" s="651"/>
      <c r="P179" s="651"/>
      <c r="Q179" s="651"/>
      <c r="R179" s="651"/>
      <c r="S179" s="651"/>
      <c r="T179" s="651"/>
      <c r="U179" s="651"/>
      <c r="V179" s="651"/>
      <c r="W179" s="651"/>
      <c r="X179" s="153"/>
      <c r="Y179" s="194"/>
    </row>
    <row r="180" spans="1:25" ht="21.95" customHeight="1" thickBot="1" x14ac:dyDescent="0.25">
      <c r="A180" s="273" t="s">
        <v>2633</v>
      </c>
      <c r="B180" s="288" t="str">
        <f>IF(W254="","",IF(UPPER(W254)="YES",TRUE,FALSE))</f>
        <v/>
      </c>
      <c r="C180" s="281">
        <f ca="1">VLOOKUP(A180,DB_TBL_DATA_FIELDS[[FIELD_ID]:[PCT_CALC_FIELD_STATUS_CODE]],22,FALSE)</f>
        <v>1</v>
      </c>
      <c r="D180" s="281" t="str">
        <f>IF(VLOOKUP(A180,DB_TBL_DATA_FIELDS[[FIELD_ID]:[ERROR_MESSAGE]],23,FALSE)&lt;&gt;0,VLOOKUP(A180,DB_TBL_DATA_FIELDS[[FIELD_ID]:[ERROR_MESSAGE]],23,FALSE),"")</f>
        <v/>
      </c>
      <c r="E180" s="281">
        <f>VLOOKUP(A180,DB_TBL_DATA_FIELDS[[#All],[FIELD_ID]:[RANGE_VALIDATION_MAX]],18,FALSE)</f>
        <v>0</v>
      </c>
      <c r="F180" s="281">
        <f>VLOOKUP(A180,DB_TBL_DATA_FIELDS[[#All],[FIELD_ID]:[RANGE_VALIDATION_MAX]],19,FALSE)</f>
        <v>1</v>
      </c>
      <c r="G180" s="281">
        <f t="shared" ca="1" si="30"/>
        <v>1</v>
      </c>
      <c r="H180" s="215"/>
      <c r="I180" s="216" t="s">
        <v>2600</v>
      </c>
      <c r="J180" s="222"/>
      <c r="K180" s="222"/>
      <c r="L180" s="222"/>
      <c r="M180" s="222"/>
      <c r="N180" s="222"/>
      <c r="O180" s="222"/>
      <c r="P180" s="217"/>
      <c r="Q180" s="223"/>
      <c r="R180" s="217"/>
      <c r="S180" s="223"/>
      <c r="T180" s="217"/>
      <c r="U180" s="223"/>
      <c r="V180" s="217"/>
      <c r="W180" s="223"/>
      <c r="X180" s="153"/>
      <c r="Y180" s="194"/>
    </row>
    <row r="181" spans="1:25" ht="21.95" customHeight="1" thickTop="1" x14ac:dyDescent="0.2">
      <c r="A181" s="273" t="s">
        <v>2611</v>
      </c>
      <c r="B181" s="288" t="str">
        <f>IF(W255="","",IF(UPPER(W255)="YES",TRUE,FALSE))</f>
        <v/>
      </c>
      <c r="C181" s="281">
        <f ca="1">VLOOKUP(A181,DB_TBL_DATA_FIELDS[[FIELD_ID]:[PCT_CALC_FIELD_STATUS_CODE]],22,FALSE)</f>
        <v>1</v>
      </c>
      <c r="D181" s="281" t="str">
        <f>IF(VLOOKUP(A181,DB_TBL_DATA_FIELDS[[FIELD_ID]:[ERROR_MESSAGE]],23,FALSE)&lt;&gt;0,VLOOKUP(A181,DB_TBL_DATA_FIELDS[[FIELD_ID]:[ERROR_MESSAGE]],23,FALSE),"")</f>
        <v/>
      </c>
      <c r="E181" s="281">
        <f>VLOOKUP(A181,DB_TBL_DATA_FIELDS[[#All],[FIELD_ID]:[RANGE_VALIDATION_MAX]],18,FALSE)</f>
        <v>0</v>
      </c>
      <c r="F181" s="281">
        <f>VLOOKUP(A181,DB_TBL_DATA_FIELDS[[#All],[FIELD_ID]:[RANGE_VALIDATION_MAX]],19,FALSE)</f>
        <v>1</v>
      </c>
      <c r="G181" s="281">
        <f t="shared" ca="1" si="30"/>
        <v>1</v>
      </c>
      <c r="H181" s="215"/>
      <c r="I181" s="208"/>
      <c r="J181" s="224"/>
      <c r="K181" s="224"/>
      <c r="L181" s="224"/>
      <c r="M181" s="224"/>
      <c r="N181" s="224"/>
      <c r="O181" s="224"/>
      <c r="P181" s="140"/>
      <c r="Q181" s="225"/>
      <c r="R181" s="140"/>
      <c r="S181" s="225"/>
      <c r="T181" s="140"/>
      <c r="U181" s="225"/>
      <c r="V181" s="140"/>
      <c r="W181" s="225"/>
      <c r="X181" s="153"/>
      <c r="Y181" s="194"/>
    </row>
    <row r="182" spans="1:25" ht="21.95" customHeight="1" x14ac:dyDescent="0.2">
      <c r="A182" s="273" t="s">
        <v>2612</v>
      </c>
      <c r="B182" s="288" t="str">
        <f>IF(W256="","",IF(UPPER(W256)="YES",TRUE,FALSE))</f>
        <v/>
      </c>
      <c r="C182" s="281">
        <f ca="1">VLOOKUP(A182,DB_TBL_DATA_FIELDS[[FIELD_ID]:[PCT_CALC_FIELD_STATUS_CODE]],22,FALSE)</f>
        <v>1</v>
      </c>
      <c r="D182" s="281" t="str">
        <f>IF(VLOOKUP(A182,DB_TBL_DATA_FIELDS[[FIELD_ID]:[ERROR_MESSAGE]],23,FALSE)&lt;&gt;0,VLOOKUP(A182,DB_TBL_DATA_FIELDS[[FIELD_ID]:[ERROR_MESSAGE]],23,FALSE),"")</f>
        <v/>
      </c>
      <c r="E182" s="281">
        <f>VLOOKUP(A182,DB_TBL_DATA_FIELDS[[#All],[FIELD_ID]:[RANGE_VALIDATION_MAX]],18,FALSE)</f>
        <v>0</v>
      </c>
      <c r="F182" s="281">
        <f>VLOOKUP(A182,DB_TBL_DATA_FIELDS[[#All],[FIELD_ID]:[RANGE_VALIDATION_MAX]],19,FALSE)</f>
        <v>1</v>
      </c>
      <c r="G182" s="281">
        <f t="shared" ca="1" si="30"/>
        <v>1</v>
      </c>
      <c r="H182" s="215"/>
      <c r="I182" s="226" t="s">
        <v>2601</v>
      </c>
      <c r="J182" s="153"/>
      <c r="K182" s="194"/>
      <c r="L182" s="153"/>
      <c r="M182" s="194"/>
      <c r="N182" s="153"/>
      <c r="O182" s="194"/>
      <c r="P182" s="153"/>
      <c r="Q182" s="194"/>
      <c r="R182" s="153"/>
      <c r="S182" s="194"/>
      <c r="T182" s="153"/>
      <c r="U182" s="194"/>
      <c r="V182" s="153"/>
      <c r="W182" s="333"/>
      <c r="X182" s="165">
        <f ca="1">G154</f>
        <v>1</v>
      </c>
      <c r="Y182" s="194"/>
    </row>
    <row r="183" spans="1:25" ht="21.95" customHeight="1" x14ac:dyDescent="0.2">
      <c r="A183" s="336" t="s">
        <v>2634</v>
      </c>
      <c r="B183" s="298" t="str">
        <f>""</f>
        <v/>
      </c>
      <c r="C183" s="299"/>
      <c r="D183" s="299"/>
      <c r="E183" s="299"/>
      <c r="F183" s="299"/>
      <c r="G183" s="299"/>
      <c r="H183" s="215"/>
      <c r="I183" s="226" t="s">
        <v>3673</v>
      </c>
      <c r="J183" s="153"/>
      <c r="K183" s="194"/>
      <c r="L183" s="153"/>
      <c r="M183" s="194"/>
      <c r="N183" s="153"/>
      <c r="O183" s="194"/>
      <c r="P183" s="153"/>
      <c r="Q183" s="194"/>
      <c r="R183" s="153"/>
      <c r="S183" s="194"/>
      <c r="T183" s="153"/>
      <c r="U183" s="194"/>
      <c r="V183" s="153"/>
      <c r="W183" s="333"/>
      <c r="X183" s="165">
        <f ca="1">G155</f>
        <v>1</v>
      </c>
      <c r="Y183" s="194"/>
    </row>
    <row r="184" spans="1:25" ht="21.95" customHeight="1" x14ac:dyDescent="0.2">
      <c r="A184" s="290" t="s">
        <v>277</v>
      </c>
      <c r="B184" s="282" t="str">
        <f>"C"&amp;MATCH(LEFT(A184,LEN(A184)-LEN("_RANGE")),A:A,0)+1&amp;":C"&amp;(ROW()-1)</f>
        <v>C175:C183</v>
      </c>
      <c r="C184" s="281"/>
      <c r="D184" s="281"/>
      <c r="E184" s="281"/>
      <c r="F184" s="281"/>
      <c r="G184" s="281"/>
      <c r="H184" s="215"/>
      <c r="I184" s="226"/>
      <c r="J184" s="153"/>
      <c r="K184" s="194"/>
      <c r="L184" s="153"/>
      <c r="M184" s="194"/>
      <c r="N184" s="153"/>
      <c r="O184" s="194"/>
      <c r="P184" s="153"/>
      <c r="Q184" s="194"/>
      <c r="R184" s="153"/>
      <c r="S184" s="194"/>
      <c r="T184" s="153"/>
      <c r="U184" s="194"/>
      <c r="V184" s="194"/>
      <c r="W184" s="194"/>
      <c r="X184" s="194"/>
      <c r="Y184" s="194"/>
    </row>
    <row r="185" spans="1:25" ht="21.95" customHeight="1" x14ac:dyDescent="0.2">
      <c r="A185" s="290" t="s">
        <v>278</v>
      </c>
      <c r="B185" s="282">
        <f ca="1">COUNTIF(INDIRECT($B184),2)</f>
        <v>0</v>
      </c>
      <c r="C185" s="281"/>
      <c r="D185" s="281"/>
      <c r="E185" s="281"/>
      <c r="F185" s="281"/>
      <c r="G185" s="281"/>
      <c r="H185" s="215"/>
      <c r="I185" s="563" t="s">
        <v>3725</v>
      </c>
      <c r="J185" s="563"/>
      <c r="K185" s="563"/>
      <c r="L185" s="563"/>
      <c r="M185" s="563"/>
      <c r="N185" s="563"/>
      <c r="O185" s="563"/>
      <c r="P185" s="563"/>
      <c r="Q185" s="563"/>
      <c r="R185" s="563"/>
      <c r="S185" s="563"/>
      <c r="T185" s="563"/>
      <c r="U185" s="563"/>
      <c r="V185" s="153"/>
      <c r="W185" s="333"/>
      <c r="X185" s="165">
        <f ca="1">G156</f>
        <v>1</v>
      </c>
      <c r="Y185" s="194"/>
    </row>
    <row r="186" spans="1:25" ht="21.95" customHeight="1" x14ac:dyDescent="0.2">
      <c r="A186" s="290" t="s">
        <v>279</v>
      </c>
      <c r="B186" s="282">
        <f ca="1">COUNTIF(INDIRECT($B184),0)+COUNTIF(INDIRECT($B184),1)+COUNTIF(INDIRECT($B184),2)</f>
        <v>8</v>
      </c>
      <c r="C186" s="281"/>
      <c r="D186" s="281"/>
      <c r="E186" s="281"/>
      <c r="F186" s="281"/>
      <c r="G186" s="281"/>
      <c r="H186" s="215"/>
      <c r="I186" s="563"/>
      <c r="J186" s="563"/>
      <c r="K186" s="563"/>
      <c r="L186" s="563"/>
      <c r="M186" s="563"/>
      <c r="N186" s="563"/>
      <c r="O186" s="563"/>
      <c r="P186" s="563"/>
      <c r="Q186" s="563"/>
      <c r="R186" s="563"/>
      <c r="S186" s="563"/>
      <c r="T186" s="563"/>
      <c r="U186" s="563"/>
      <c r="V186" s="194"/>
      <c r="W186" s="194"/>
      <c r="X186" s="165"/>
      <c r="Y186" s="194"/>
    </row>
    <row r="187" spans="1:25" ht="21.95" customHeight="1" x14ac:dyDescent="0.2">
      <c r="A187" s="290" t="s">
        <v>280</v>
      </c>
      <c r="B187" s="282">
        <f ca="1">COUNTIF(INDIRECT($B184),0)</f>
        <v>0</v>
      </c>
      <c r="C187" s="281" t="s">
        <v>2607</v>
      </c>
      <c r="D187" s="281"/>
      <c r="E187" s="281"/>
      <c r="F187" s="281"/>
      <c r="G187" s="281"/>
      <c r="H187" s="215"/>
      <c r="I187" s="563" t="s">
        <v>3726</v>
      </c>
      <c r="J187" s="563"/>
      <c r="K187" s="563"/>
      <c r="L187" s="563"/>
      <c r="M187" s="563"/>
      <c r="N187" s="563"/>
      <c r="O187" s="563"/>
      <c r="P187" s="563"/>
      <c r="Q187" s="563"/>
      <c r="R187" s="563"/>
      <c r="S187" s="563"/>
      <c r="T187" s="563"/>
      <c r="U187" s="563"/>
      <c r="V187" s="153"/>
      <c r="W187" s="380"/>
      <c r="X187" s="165">
        <f ca="1">G157</f>
        <v>1</v>
      </c>
      <c r="Y187" s="194"/>
    </row>
    <row r="188" spans="1:25" ht="21.95" customHeight="1" x14ac:dyDescent="0.2">
      <c r="A188" s="290" t="s">
        <v>281</v>
      </c>
      <c r="B188" s="291">
        <f ca="1">IFERROR(B185/B186,1.01)</f>
        <v>0</v>
      </c>
      <c r="C188" s="281"/>
      <c r="D188" s="281"/>
      <c r="E188" s="281"/>
      <c r="F188" s="281"/>
      <c r="G188" s="281"/>
      <c r="H188" s="215"/>
      <c r="I188" s="563"/>
      <c r="J188" s="563"/>
      <c r="K188" s="563"/>
      <c r="L188" s="563"/>
      <c r="M188" s="563"/>
      <c r="N188" s="563"/>
      <c r="O188" s="563"/>
      <c r="P188" s="563"/>
      <c r="Q188" s="563"/>
      <c r="R188" s="563"/>
      <c r="S188" s="563"/>
      <c r="T188" s="563"/>
      <c r="U188" s="563"/>
      <c r="V188" s="194"/>
      <c r="W188" s="194"/>
      <c r="X188" s="165"/>
      <c r="Y188" s="194"/>
    </row>
    <row r="189" spans="1:25" ht="21.95" customHeight="1" x14ac:dyDescent="0.2">
      <c r="A189" s="290" t="s">
        <v>282</v>
      </c>
      <c r="B189" s="292" t="str">
        <f ca="1">IF(B187&gt;0,"Data Error(s)",IF(B188=0,"Not Started",IF(B188&lt;1,ROUNDUP(B188*100,0)&amp;"% Done",IF(B188&gt;1,"Optional","Complete"))))</f>
        <v>Not Started</v>
      </c>
      <c r="C189" s="281"/>
      <c r="D189" s="281"/>
      <c r="E189" s="281"/>
      <c r="F189" s="281"/>
      <c r="G189" s="281"/>
      <c r="H189" s="215"/>
      <c r="I189" s="231" t="s">
        <v>3608</v>
      </c>
      <c r="J189" s="231"/>
      <c r="K189" s="231"/>
      <c r="L189" s="231"/>
      <c r="M189" s="231"/>
      <c r="N189" s="231"/>
      <c r="O189" s="231"/>
      <c r="P189" s="231"/>
      <c r="Q189" s="231"/>
      <c r="R189" s="231"/>
      <c r="S189" s="231"/>
      <c r="T189" s="231"/>
      <c r="U189" s="231"/>
      <c r="V189" s="231"/>
      <c r="W189" s="333"/>
      <c r="X189" s="165">
        <f ca="1">G158</f>
        <v>1</v>
      </c>
      <c r="Y189" s="194"/>
    </row>
    <row r="190" spans="1:25" ht="21.95" customHeight="1" x14ac:dyDescent="0.2">
      <c r="A190" s="290" t="s">
        <v>283</v>
      </c>
      <c r="B190" s="282" t="str">
        <f ca="1">IF(B187&gt;0,0,IF(B188&lt;1,"",2))</f>
        <v/>
      </c>
      <c r="C190" s="281"/>
      <c r="D190" s="281"/>
      <c r="E190" s="281"/>
      <c r="F190" s="281"/>
      <c r="G190" s="281"/>
      <c r="H190" s="215"/>
      <c r="I190" s="231"/>
      <c r="J190" s="231"/>
      <c r="K190" s="231"/>
      <c r="L190" s="231"/>
      <c r="M190" s="231"/>
      <c r="N190" s="231"/>
      <c r="O190" s="231"/>
      <c r="P190" s="231"/>
      <c r="Q190" s="231"/>
      <c r="R190" s="231"/>
      <c r="S190" s="231"/>
      <c r="T190" s="231"/>
      <c r="U190" s="231"/>
      <c r="V190" s="231"/>
      <c r="W190" s="231"/>
      <c r="X190" s="231"/>
      <c r="Y190" s="194"/>
    </row>
    <row r="191" spans="1:25" ht="21.95" customHeight="1" x14ac:dyDescent="0.2">
      <c r="A191" s="290" t="s">
        <v>284</v>
      </c>
      <c r="B191" s="293" t="s">
        <v>2630</v>
      </c>
      <c r="C191" s="281"/>
      <c r="D191" s="281"/>
      <c r="E191" s="281"/>
      <c r="F191" s="281"/>
      <c r="G191" s="281"/>
      <c r="H191" s="215"/>
      <c r="I191" s="563" t="s">
        <v>3731</v>
      </c>
      <c r="J191" s="563"/>
      <c r="K191" s="563"/>
      <c r="L191" s="563"/>
      <c r="M191" s="563"/>
      <c r="N191" s="563"/>
      <c r="O191" s="563"/>
      <c r="P191" s="563"/>
      <c r="Q191" s="563"/>
      <c r="R191" s="563"/>
      <c r="S191" s="563"/>
      <c r="T191" s="563"/>
      <c r="U191" s="563"/>
      <c r="V191" s="153"/>
      <c r="W191" s="380"/>
      <c r="X191" s="165">
        <f ca="1">G159</f>
        <v>1</v>
      </c>
      <c r="Y191" s="194"/>
    </row>
    <row r="192" spans="1:25" ht="21.95" customHeight="1" x14ac:dyDescent="0.2">
      <c r="A192" s="294" t="s">
        <v>2356</v>
      </c>
      <c r="B192" s="282">
        <v>0</v>
      </c>
      <c r="C192" s="281" t="s">
        <v>2462</v>
      </c>
      <c r="D192" s="281"/>
      <c r="E192" s="281"/>
      <c r="F192" s="281"/>
      <c r="G192" s="281"/>
      <c r="H192" s="215"/>
      <c r="I192" s="563"/>
      <c r="J192" s="563"/>
      <c r="K192" s="563"/>
      <c r="L192" s="563"/>
      <c r="M192" s="563"/>
      <c r="N192" s="563"/>
      <c r="O192" s="563"/>
      <c r="P192" s="563"/>
      <c r="Q192" s="563"/>
      <c r="R192" s="563"/>
      <c r="S192" s="563"/>
      <c r="T192" s="563"/>
      <c r="U192" s="563"/>
      <c r="V192" s="194"/>
      <c r="W192" s="194"/>
      <c r="X192" s="165"/>
      <c r="Y192" s="194"/>
    </row>
    <row r="193" spans="1:25" ht="21.95" customHeight="1" x14ac:dyDescent="0.2">
      <c r="A193" s="294" t="s">
        <v>2357</v>
      </c>
      <c r="B193" s="282" t="b">
        <f>(B192&gt;0)</f>
        <v>0</v>
      </c>
      <c r="C193" s="281"/>
      <c r="D193" s="281"/>
      <c r="E193" s="281"/>
      <c r="F193" s="281"/>
      <c r="G193" s="281"/>
      <c r="H193" s="215"/>
      <c r="I193" s="563" t="s">
        <v>3732</v>
      </c>
      <c r="J193" s="563"/>
      <c r="K193" s="563"/>
      <c r="L193" s="563"/>
      <c r="M193" s="563"/>
      <c r="N193" s="563"/>
      <c r="O193" s="563"/>
      <c r="P193" s="563"/>
      <c r="Q193" s="563"/>
      <c r="R193" s="563"/>
      <c r="S193" s="563"/>
      <c r="T193" s="563"/>
      <c r="U193" s="563"/>
      <c r="V193" s="153"/>
      <c r="W193" s="380"/>
      <c r="X193" s="165">
        <f ca="1">G160</f>
        <v>1</v>
      </c>
      <c r="Y193" s="194"/>
    </row>
    <row r="194" spans="1:25" ht="21.95" customHeight="1" x14ac:dyDescent="0.2">
      <c r="A194" s="285" t="s">
        <v>288</v>
      </c>
      <c r="B194" s="305" t="s">
        <v>2687</v>
      </c>
      <c r="C194" s="287"/>
      <c r="D194" s="287"/>
      <c r="E194" s="287"/>
      <c r="F194" s="287"/>
      <c r="G194" s="172" t="str">
        <f>B215</f>
        <v>Member Involvement</v>
      </c>
      <c r="H194" s="215"/>
      <c r="I194" s="563"/>
      <c r="J194" s="563"/>
      <c r="K194" s="563"/>
      <c r="L194" s="563"/>
      <c r="M194" s="563"/>
      <c r="N194" s="563"/>
      <c r="O194" s="563"/>
      <c r="P194" s="563"/>
      <c r="Q194" s="563"/>
      <c r="R194" s="563"/>
      <c r="S194" s="563"/>
      <c r="T194" s="563"/>
      <c r="U194" s="563"/>
      <c r="V194" s="194"/>
      <c r="W194" s="194"/>
      <c r="X194" s="165"/>
      <c r="Y194" s="194"/>
    </row>
    <row r="195" spans="1:25" ht="21.95" customHeight="1" x14ac:dyDescent="0.2">
      <c r="A195" s="273" t="s">
        <v>2688</v>
      </c>
      <c r="B195" s="288" t="str">
        <f>IF(W261="","",IF(UPPER(W261)="YES",TRUE,FALSE))</f>
        <v/>
      </c>
      <c r="C195" s="281">
        <f ca="1">VLOOKUP(A195,DB_TBL_DATA_FIELDS[[FIELD_ID]:[PCT_CALC_FIELD_STATUS_CODE]],22,FALSE)</f>
        <v>1</v>
      </c>
      <c r="D195" s="281" t="str">
        <f>IF(VLOOKUP(A195,DB_TBL_DATA_FIELDS[[FIELD_ID]:[ERROR_MESSAGE]],23,FALSE)&lt;&gt;0,VLOOKUP(A195,DB_TBL_DATA_FIELDS[[FIELD_ID]:[ERROR_MESSAGE]],23,FALSE),"")</f>
        <v/>
      </c>
      <c r="E195" s="281">
        <f>VLOOKUP(A195,DB_TBL_DATA_FIELDS[[#All],[FIELD_ID]:[RANGE_VALIDATION_MAX]],18,FALSE)</f>
        <v>0</v>
      </c>
      <c r="F195" s="281">
        <f>VLOOKUP(A195,DB_TBL_DATA_FIELDS[[#All],[FIELD_ID]:[RANGE_VALIDATION_MAX]],19,FALSE)</f>
        <v>1</v>
      </c>
      <c r="G195" s="281">
        <f t="shared" ref="G195" ca="1" si="32">IF(C195&lt;0,"",C195)</f>
        <v>1</v>
      </c>
      <c r="H195" s="215"/>
      <c r="I195" s="221" t="s">
        <v>3733</v>
      </c>
      <c r="J195" s="232"/>
      <c r="K195" s="232"/>
      <c r="L195" s="232"/>
      <c r="M195" s="232"/>
      <c r="N195" s="232"/>
      <c r="O195" s="232"/>
      <c r="P195" s="232"/>
      <c r="Q195" s="232"/>
      <c r="R195" s="232"/>
      <c r="S195" s="232"/>
      <c r="T195" s="232"/>
      <c r="U195" s="232"/>
      <c r="V195" s="232"/>
      <c r="W195" s="175" t="str">
        <f>SUBSTITUTE(SUBSTITUTE(SUBSTITUTE(IF(LEN(B161)&gt;F161,CONFIG_CHAR_LIMIT_TEMPLATE_ERR,CONFIG_CHAR_LIMIT_TEMPLATE),"[diff]",ABS(LEN(B161)-F161)),"[limit]",F161),"[used]",LEN(B161))</f>
        <v>1000 character(s) remaining</v>
      </c>
      <c r="X195" s="153"/>
      <c r="Y195" s="194"/>
    </row>
    <row r="196" spans="1:25" ht="21.95" customHeight="1" x14ac:dyDescent="0.2">
      <c r="A196" s="273" t="s">
        <v>2689</v>
      </c>
      <c r="B196" s="288" t="str">
        <f>IF(W262="","",IF(UPPER(W262)="YES",TRUE,FALSE))</f>
        <v/>
      </c>
      <c r="C196" s="281">
        <f ca="1">VLOOKUP(A196,DB_TBL_DATA_FIELDS[[FIELD_ID]:[PCT_CALC_FIELD_STATUS_CODE]],22,FALSE)</f>
        <v>1</v>
      </c>
      <c r="D196" s="281" t="str">
        <f>IF(VLOOKUP(A196,DB_TBL_DATA_FIELDS[[FIELD_ID]:[ERROR_MESSAGE]],23,FALSE)&lt;&gt;0,VLOOKUP(A196,DB_TBL_DATA_FIELDS[[FIELD_ID]:[ERROR_MESSAGE]],23,FALSE),"")</f>
        <v/>
      </c>
      <c r="E196" s="281">
        <f>VLOOKUP(A196,DB_TBL_DATA_FIELDS[[#All],[FIELD_ID]:[RANGE_VALIDATION_MAX]],18,FALSE)</f>
        <v>0</v>
      </c>
      <c r="F196" s="281">
        <f>VLOOKUP(A196,DB_TBL_DATA_FIELDS[[#All],[FIELD_ID]:[RANGE_VALIDATION_MAX]],19,FALSE)</f>
        <v>1</v>
      </c>
      <c r="G196" s="281">
        <f t="shared" ref="G196:G207" ca="1" si="33">IF(C196&lt;0,"",C196)</f>
        <v>1</v>
      </c>
      <c r="H196" s="215"/>
      <c r="I196" s="500"/>
      <c r="J196" s="598"/>
      <c r="K196" s="598"/>
      <c r="L196" s="598"/>
      <c r="M196" s="598"/>
      <c r="N196" s="598"/>
      <c r="O196" s="598"/>
      <c r="P196" s="598"/>
      <c r="Q196" s="598"/>
      <c r="R196" s="598"/>
      <c r="S196" s="598"/>
      <c r="T196" s="598"/>
      <c r="U196" s="598"/>
      <c r="V196" s="598"/>
      <c r="W196" s="599"/>
      <c r="X196" s="165" t="str">
        <f ca="1">G161</f>
        <v/>
      </c>
      <c r="Y196" s="194"/>
    </row>
    <row r="197" spans="1:25" ht="21.95" customHeight="1" x14ac:dyDescent="0.2">
      <c r="A197" s="273" t="s">
        <v>2690</v>
      </c>
      <c r="B197" s="288" t="str">
        <f>IF(W263="","",IF(UPPER(W263)="YES",TRUE,FALSE))</f>
        <v/>
      </c>
      <c r="C197" s="281">
        <f ca="1">VLOOKUP(A197,DB_TBL_DATA_FIELDS[[FIELD_ID]:[PCT_CALC_FIELD_STATUS_CODE]],22,FALSE)</f>
        <v>1</v>
      </c>
      <c r="D197" s="281" t="str">
        <f>IF(VLOOKUP(A197,DB_TBL_DATA_FIELDS[[FIELD_ID]:[ERROR_MESSAGE]],23,FALSE)&lt;&gt;0,VLOOKUP(A197,DB_TBL_DATA_FIELDS[[FIELD_ID]:[ERROR_MESSAGE]],23,FALSE),"")</f>
        <v/>
      </c>
      <c r="E197" s="281">
        <f>VLOOKUP(A197,DB_TBL_DATA_FIELDS[[#All],[FIELD_ID]:[RANGE_VALIDATION_MAX]],18,FALSE)</f>
        <v>0</v>
      </c>
      <c r="F197" s="281">
        <f>VLOOKUP(A197,DB_TBL_DATA_FIELDS[[#All],[FIELD_ID]:[RANGE_VALIDATION_MAX]],19,FALSE)</f>
        <v>1</v>
      </c>
      <c r="G197" s="281">
        <f t="shared" ca="1" si="33"/>
        <v>1</v>
      </c>
      <c r="H197" s="215"/>
      <c r="I197" s="600"/>
      <c r="J197" s="601"/>
      <c r="K197" s="601"/>
      <c r="L197" s="601"/>
      <c r="M197" s="601"/>
      <c r="N197" s="601"/>
      <c r="O197" s="601"/>
      <c r="P197" s="601"/>
      <c r="Q197" s="601"/>
      <c r="R197" s="601"/>
      <c r="S197" s="601"/>
      <c r="T197" s="601"/>
      <c r="U197" s="601"/>
      <c r="V197" s="601"/>
      <c r="W197" s="602"/>
      <c r="X197" s="153"/>
      <c r="Y197" s="194"/>
    </row>
    <row r="198" spans="1:25" ht="21.95" customHeight="1" x14ac:dyDescent="0.2">
      <c r="A198" s="273" t="s">
        <v>2691</v>
      </c>
      <c r="B198" s="288" t="str">
        <f>IF(I265&lt;&gt;"",I265,"")</f>
        <v/>
      </c>
      <c r="C198" s="281">
        <f ca="1">VLOOKUP(A198,DB_TBL_DATA_FIELDS[[FIELD_ID]:[PCT_CALC_FIELD_STATUS_CODE]],22,FALSE)</f>
        <v>-1</v>
      </c>
      <c r="D198" s="281" t="str">
        <f>IF(VLOOKUP(A198,DB_TBL_DATA_FIELDS[[FIELD_ID]:[ERROR_MESSAGE]],23,FALSE)&lt;&gt;0,VLOOKUP(A198,DB_TBL_DATA_FIELDS[[FIELD_ID]:[ERROR_MESSAGE]],23,FALSE),"")</f>
        <v/>
      </c>
      <c r="E198" s="281">
        <f>VLOOKUP(A198,DB_TBL_DATA_FIELDS[[#All],[FIELD_ID]:[RANGE_VALIDATION_MAX]],18,FALSE)</f>
        <v>0</v>
      </c>
      <c r="F198" s="281">
        <f>VLOOKUP(A198,DB_TBL_DATA_FIELDS[[#All],[FIELD_ID]:[RANGE_VALIDATION_MAX]],19,FALSE)</f>
        <v>1000</v>
      </c>
      <c r="G198" s="281" t="str">
        <f t="shared" ca="1" si="33"/>
        <v/>
      </c>
      <c r="H198" s="215"/>
      <c r="I198" s="600"/>
      <c r="J198" s="601"/>
      <c r="K198" s="601"/>
      <c r="L198" s="601"/>
      <c r="M198" s="601"/>
      <c r="N198" s="601"/>
      <c r="O198" s="601"/>
      <c r="P198" s="601"/>
      <c r="Q198" s="601"/>
      <c r="R198" s="601"/>
      <c r="S198" s="601"/>
      <c r="T198" s="601"/>
      <c r="U198" s="601"/>
      <c r="V198" s="601"/>
      <c r="W198" s="602"/>
      <c r="X198" s="153"/>
      <c r="Y198" s="194"/>
    </row>
    <row r="199" spans="1:25" ht="21.95" customHeight="1" x14ac:dyDescent="0.2">
      <c r="A199" s="273" t="s">
        <v>2692</v>
      </c>
      <c r="B199" s="288" t="str">
        <f>IF(W274="","",IF(UPPER(W274)="YES",TRUE,FALSE))</f>
        <v/>
      </c>
      <c r="C199" s="281">
        <f ca="1">VLOOKUP(A199,DB_TBL_DATA_FIELDS[[FIELD_ID]:[PCT_CALC_FIELD_STATUS_CODE]],22,FALSE)</f>
        <v>1</v>
      </c>
      <c r="D199" s="281" t="str">
        <f>IF(VLOOKUP(A199,DB_TBL_DATA_FIELDS[[FIELD_ID]:[ERROR_MESSAGE]],23,FALSE)&lt;&gt;0,VLOOKUP(A199,DB_TBL_DATA_FIELDS[[FIELD_ID]:[ERROR_MESSAGE]],23,FALSE),"")</f>
        <v/>
      </c>
      <c r="E199" s="281">
        <f>VLOOKUP(A199,DB_TBL_DATA_FIELDS[[#All],[FIELD_ID]:[RANGE_VALIDATION_MAX]],18,FALSE)</f>
        <v>0</v>
      </c>
      <c r="F199" s="281">
        <f>VLOOKUP(A199,DB_TBL_DATA_FIELDS[[#All],[FIELD_ID]:[RANGE_VALIDATION_MAX]],19,FALSE)</f>
        <v>1</v>
      </c>
      <c r="G199" s="281">
        <f t="shared" ca="1" si="33"/>
        <v>1</v>
      </c>
      <c r="H199" s="215"/>
      <c r="I199" s="603"/>
      <c r="J199" s="604"/>
      <c r="K199" s="604"/>
      <c r="L199" s="604"/>
      <c r="M199" s="604"/>
      <c r="N199" s="604"/>
      <c r="O199" s="604"/>
      <c r="P199" s="604"/>
      <c r="Q199" s="604"/>
      <c r="R199" s="604"/>
      <c r="S199" s="604"/>
      <c r="T199" s="604"/>
      <c r="U199" s="604"/>
      <c r="V199" s="604"/>
      <c r="W199" s="605"/>
      <c r="X199" s="153"/>
      <c r="Y199" s="194"/>
    </row>
    <row r="200" spans="1:25" ht="21.95" customHeight="1" x14ac:dyDescent="0.2">
      <c r="A200" s="273" t="s">
        <v>2693</v>
      </c>
      <c r="B200" s="288" t="str">
        <f>IF(W275="","",IF(UPPER(W275)="YES",TRUE,FALSE))</f>
        <v/>
      </c>
      <c r="C200" s="281">
        <f ca="1">VLOOKUP(A200,DB_TBL_DATA_FIELDS[[FIELD_ID]:[PCT_CALC_FIELD_STATUS_CODE]],22,FALSE)</f>
        <v>-1</v>
      </c>
      <c r="D200" s="281" t="str">
        <f>IF(VLOOKUP(A200,DB_TBL_DATA_FIELDS[[FIELD_ID]:[ERROR_MESSAGE]],23,FALSE)&lt;&gt;0,VLOOKUP(A200,DB_TBL_DATA_FIELDS[[FIELD_ID]:[ERROR_MESSAGE]],23,FALSE),"")</f>
        <v/>
      </c>
      <c r="E200" s="281">
        <f>VLOOKUP(A200,DB_TBL_DATA_FIELDS[[#All],[FIELD_ID]:[RANGE_VALIDATION_MAX]],18,FALSE)</f>
        <v>0</v>
      </c>
      <c r="F200" s="281">
        <f>VLOOKUP(A200,DB_TBL_DATA_FIELDS[[#All],[FIELD_ID]:[RANGE_VALIDATION_MAX]],19,FALSE)</f>
        <v>1</v>
      </c>
      <c r="G200" s="281" t="str">
        <f t="shared" ca="1" si="33"/>
        <v/>
      </c>
      <c r="H200" s="215"/>
      <c r="I200" s="224"/>
      <c r="J200" s="224"/>
      <c r="K200" s="224"/>
      <c r="L200" s="224"/>
      <c r="M200" s="224"/>
      <c r="N200" s="224"/>
      <c r="O200" s="224"/>
      <c r="P200" s="153"/>
      <c r="Q200" s="194"/>
      <c r="R200" s="153"/>
      <c r="S200" s="194"/>
      <c r="T200" s="153"/>
      <c r="U200" s="194"/>
      <c r="V200" s="153"/>
      <c r="W200" s="194"/>
      <c r="X200" s="153"/>
      <c r="Y200" s="194"/>
    </row>
    <row r="201" spans="1:25" ht="21.95" customHeight="1" thickBot="1" x14ac:dyDescent="0.25">
      <c r="A201" s="273" t="s">
        <v>2694</v>
      </c>
      <c r="B201" s="288" t="str">
        <f>IF(W276="","",IF(UPPER(W276)="YES",TRUE,FALSE))</f>
        <v/>
      </c>
      <c r="C201" s="281">
        <f ca="1">VLOOKUP(A201,DB_TBL_DATA_FIELDS[[FIELD_ID]:[PCT_CALC_FIELD_STATUS_CODE]],22,FALSE)</f>
        <v>-1</v>
      </c>
      <c r="D201" s="281" t="str">
        <f>IF(VLOOKUP(A201,DB_TBL_DATA_FIELDS[[FIELD_ID]:[ERROR_MESSAGE]],23,FALSE)&lt;&gt;0,VLOOKUP(A201,DB_TBL_DATA_FIELDS[[FIELD_ID]:[ERROR_MESSAGE]],23,FALSE),"")</f>
        <v/>
      </c>
      <c r="E201" s="281">
        <f>VLOOKUP(A201,DB_TBL_DATA_FIELDS[[#All],[FIELD_ID]:[RANGE_VALIDATION_MAX]],18,FALSE)</f>
        <v>0</v>
      </c>
      <c r="F201" s="281">
        <f>VLOOKUP(A201,DB_TBL_DATA_FIELDS[[#All],[FIELD_ID]:[RANGE_VALIDATION_MAX]],19,FALSE)</f>
        <v>1</v>
      </c>
      <c r="G201" s="281" t="str">
        <f t="shared" ca="1" si="33"/>
        <v/>
      </c>
      <c r="H201" s="215"/>
      <c r="I201" s="216" t="s">
        <v>2541</v>
      </c>
      <c r="J201" s="192"/>
      <c r="K201" s="192"/>
      <c r="L201" s="192"/>
      <c r="M201" s="192"/>
      <c r="N201" s="192"/>
      <c r="O201" s="192"/>
      <c r="P201" s="217"/>
      <c r="Q201" s="223"/>
      <c r="R201" s="217"/>
      <c r="S201" s="223"/>
      <c r="T201" s="217"/>
      <c r="U201" s="223"/>
      <c r="V201" s="217"/>
      <c r="W201" s="223"/>
      <c r="X201" s="153"/>
      <c r="Y201" s="194"/>
    </row>
    <row r="202" spans="1:25" ht="21.95" customHeight="1" thickTop="1" x14ac:dyDescent="0.2">
      <c r="A202" s="273" t="s">
        <v>2695</v>
      </c>
      <c r="B202" s="288" t="str">
        <f>IF(W277="","",IF(UPPER(W277)="YES",TRUE,FALSE))</f>
        <v/>
      </c>
      <c r="C202" s="281">
        <f ca="1">VLOOKUP(A202,DB_TBL_DATA_FIELDS[[FIELD_ID]:[PCT_CALC_FIELD_STATUS_CODE]],22,FALSE)</f>
        <v>-1</v>
      </c>
      <c r="D202" s="281" t="str">
        <f>IF(VLOOKUP(A202,DB_TBL_DATA_FIELDS[[FIELD_ID]:[ERROR_MESSAGE]],23,FALSE)&lt;&gt;0,VLOOKUP(A202,DB_TBL_DATA_FIELDS[[FIELD_ID]:[ERROR_MESSAGE]],23,FALSE),"")</f>
        <v/>
      </c>
      <c r="E202" s="281">
        <f>VLOOKUP(A202,DB_TBL_DATA_FIELDS[[#All],[FIELD_ID]:[RANGE_VALIDATION_MAX]],18,FALSE)</f>
        <v>0</v>
      </c>
      <c r="F202" s="281">
        <f>VLOOKUP(A202,DB_TBL_DATA_FIELDS[[#All],[FIELD_ID]:[RANGE_VALIDATION_MAX]],19,FALSE)</f>
        <v>1</v>
      </c>
      <c r="G202" s="281" t="str">
        <f t="shared" ca="1" si="33"/>
        <v/>
      </c>
      <c r="H202" s="215"/>
      <c r="I202" s="204" t="s">
        <v>3538</v>
      </c>
      <c r="J202" s="142"/>
      <c r="K202" s="142"/>
      <c r="L202" s="142"/>
      <c r="M202" s="142"/>
      <c r="N202" s="142"/>
      <c r="O202" s="142"/>
      <c r="P202" s="142"/>
      <c r="Q202" s="142"/>
      <c r="R202" s="142"/>
      <c r="S202" s="142"/>
      <c r="T202" s="142"/>
      <c r="U202" s="142"/>
      <c r="V202" s="142"/>
      <c r="W202" s="142"/>
      <c r="X202" s="153"/>
      <c r="Y202" s="194"/>
    </row>
    <row r="203" spans="1:25" ht="21.95" customHeight="1" x14ac:dyDescent="0.2">
      <c r="A203" s="273" t="s">
        <v>2696</v>
      </c>
      <c r="B203" s="288" t="str">
        <f>IF(W279="","",IF(UPPER(W279)="YES",TRUE,FALSE))</f>
        <v/>
      </c>
      <c r="C203" s="281">
        <f ca="1">VLOOKUP(A203,DB_TBL_DATA_FIELDS[[FIELD_ID]:[PCT_CALC_FIELD_STATUS_CODE]],22,FALSE)</f>
        <v>1</v>
      </c>
      <c r="D203" s="281" t="str">
        <f>IF(VLOOKUP(A203,DB_TBL_DATA_FIELDS[[FIELD_ID]:[ERROR_MESSAGE]],23,FALSE)&lt;&gt;0,VLOOKUP(A203,DB_TBL_DATA_FIELDS[[FIELD_ID]:[ERROR_MESSAGE]],23,FALSE),"")</f>
        <v/>
      </c>
      <c r="E203" s="281">
        <f>VLOOKUP(A203,DB_TBL_DATA_FIELDS[[#All],[FIELD_ID]:[RANGE_VALIDATION_MAX]],18,FALSE)</f>
        <v>0</v>
      </c>
      <c r="F203" s="281">
        <f>VLOOKUP(A203,DB_TBL_DATA_FIELDS[[#All],[FIELD_ID]:[RANGE_VALIDATION_MAX]],19,FALSE)</f>
        <v>1</v>
      </c>
      <c r="G203" s="281">
        <f t="shared" ca="1" si="33"/>
        <v>1</v>
      </c>
      <c r="H203" s="215"/>
      <c r="I203" s="204" t="s">
        <v>3539</v>
      </c>
      <c r="J203" s="142"/>
      <c r="K203" s="142"/>
      <c r="L203" s="142"/>
      <c r="M203" s="142"/>
      <c r="N203" s="142"/>
      <c r="O203" s="142"/>
      <c r="P203" s="142"/>
      <c r="Q203" s="142"/>
      <c r="R203" s="142"/>
      <c r="S203" s="142"/>
      <c r="T203" s="142"/>
      <c r="U203" s="142"/>
      <c r="V203" s="142"/>
      <c r="W203" s="175" t="str">
        <f>SUBSTITUTE(SUBSTITUTE(SUBSTITUTE(IF(LEN(B126)&gt;F126,CONFIG_CHAR_LIMIT_TEMPLATE_ERR,CONFIG_CHAR_LIMIT_TEMPLATE),"[diff]",ABS(LEN(B126)-F126)),"[limit]",F126),"[used]",LEN(B126))</f>
        <v>3000 character(s) remaining</v>
      </c>
      <c r="X203" s="153"/>
      <c r="Y203" s="194"/>
    </row>
    <row r="204" spans="1:25" ht="21.95" customHeight="1" x14ac:dyDescent="0.2">
      <c r="A204" s="273" t="s">
        <v>2697</v>
      </c>
      <c r="B204" s="288" t="str">
        <f>IF(W281="","",IF(UPPER(W281)="YES",TRUE,FALSE))</f>
        <v/>
      </c>
      <c r="C204" s="281">
        <f ca="1">VLOOKUP(A204,DB_TBL_DATA_FIELDS[[FIELD_ID]:[PCT_CALC_FIELD_STATUS_CODE]],22,FALSE)</f>
        <v>1</v>
      </c>
      <c r="D204" s="281" t="str">
        <f>IF(VLOOKUP(A204,DB_TBL_DATA_FIELDS[[FIELD_ID]:[ERROR_MESSAGE]],23,FALSE)&lt;&gt;0,VLOOKUP(A204,DB_TBL_DATA_FIELDS[[FIELD_ID]:[ERROR_MESSAGE]],23,FALSE),"")</f>
        <v/>
      </c>
      <c r="E204" s="281">
        <f>VLOOKUP(A204,DB_TBL_DATA_FIELDS[[#All],[FIELD_ID]:[RANGE_VALIDATION_MAX]],18,FALSE)</f>
        <v>0</v>
      </c>
      <c r="F204" s="281">
        <f>VLOOKUP(A204,DB_TBL_DATA_FIELDS[[#All],[FIELD_ID]:[RANGE_VALIDATION_MAX]],19,FALSE)</f>
        <v>1</v>
      </c>
      <c r="G204" s="281">
        <f t="shared" ca="1" si="33"/>
        <v>1</v>
      </c>
      <c r="H204" s="215"/>
      <c r="I204" s="500"/>
      <c r="J204" s="501"/>
      <c r="K204" s="501"/>
      <c r="L204" s="501"/>
      <c r="M204" s="501"/>
      <c r="N204" s="501"/>
      <c r="O204" s="501"/>
      <c r="P204" s="501"/>
      <c r="Q204" s="501"/>
      <c r="R204" s="501"/>
      <c r="S204" s="501"/>
      <c r="T204" s="501"/>
      <c r="U204" s="501"/>
      <c r="V204" s="501"/>
      <c r="W204" s="502"/>
      <c r="X204" s="165">
        <f ca="1">G126</f>
        <v>1</v>
      </c>
      <c r="Y204" s="194"/>
    </row>
    <row r="205" spans="1:25" ht="21.95" customHeight="1" x14ac:dyDescent="0.2">
      <c r="A205" s="273" t="s">
        <v>2699</v>
      </c>
      <c r="B205" s="288" t="str">
        <f>IF(W283="","",IF(UPPER(W283)="YES",TRUE,FALSE))</f>
        <v/>
      </c>
      <c r="C205" s="281">
        <f ca="1">VLOOKUP(A205,DB_TBL_DATA_FIELDS[[FIELD_ID]:[PCT_CALC_FIELD_STATUS_CODE]],22,FALSE)</f>
        <v>1</v>
      </c>
      <c r="D205" s="281" t="str">
        <f>IF(VLOOKUP(A205,DB_TBL_DATA_FIELDS[[FIELD_ID]:[ERROR_MESSAGE]],23,FALSE)&lt;&gt;0,VLOOKUP(A205,DB_TBL_DATA_FIELDS[[FIELD_ID]:[ERROR_MESSAGE]],23,FALSE),"")</f>
        <v/>
      </c>
      <c r="E205" s="281">
        <f>VLOOKUP(A205,DB_TBL_DATA_FIELDS[[#All],[FIELD_ID]:[RANGE_VALIDATION_MAX]],18,FALSE)</f>
        <v>0</v>
      </c>
      <c r="F205" s="281">
        <f>VLOOKUP(A205,DB_TBL_DATA_FIELDS[[#All],[FIELD_ID]:[RANGE_VALIDATION_MAX]],19,FALSE)</f>
        <v>1</v>
      </c>
      <c r="G205" s="281">
        <f t="shared" ca="1" si="33"/>
        <v>1</v>
      </c>
      <c r="H205" s="215"/>
      <c r="I205" s="503"/>
      <c r="J205" s="504"/>
      <c r="K205" s="504"/>
      <c r="L205" s="504"/>
      <c r="M205" s="504"/>
      <c r="N205" s="504"/>
      <c r="O205" s="504"/>
      <c r="P205" s="504"/>
      <c r="Q205" s="504"/>
      <c r="R205" s="504"/>
      <c r="S205" s="504"/>
      <c r="T205" s="504"/>
      <c r="U205" s="504"/>
      <c r="V205" s="504"/>
      <c r="W205" s="505"/>
      <c r="X205" s="153"/>
      <c r="Y205" s="194"/>
    </row>
    <row r="206" spans="1:25" ht="21.95" customHeight="1" x14ac:dyDescent="0.2">
      <c r="A206" s="273" t="s">
        <v>2698</v>
      </c>
      <c r="B206" s="288" t="str">
        <f>IF(W285="","",IF(UPPER(W285)="YES",TRUE,FALSE))</f>
        <v/>
      </c>
      <c r="C206" s="281">
        <f ca="1">VLOOKUP(A206,DB_TBL_DATA_FIELDS[[FIELD_ID]:[PCT_CALC_FIELD_STATUS_CODE]],22,FALSE)</f>
        <v>1</v>
      </c>
      <c r="D206" s="281" t="str">
        <f>IF(VLOOKUP(A206,DB_TBL_DATA_FIELDS[[FIELD_ID]:[ERROR_MESSAGE]],23,FALSE)&lt;&gt;0,VLOOKUP(A206,DB_TBL_DATA_FIELDS[[FIELD_ID]:[ERROR_MESSAGE]],23,FALSE),"")</f>
        <v/>
      </c>
      <c r="E206" s="281">
        <f>VLOOKUP(A206,DB_TBL_DATA_FIELDS[[#All],[FIELD_ID]:[RANGE_VALIDATION_MAX]],18,FALSE)</f>
        <v>0</v>
      </c>
      <c r="F206" s="281">
        <f>VLOOKUP(A206,DB_TBL_DATA_FIELDS[[#All],[FIELD_ID]:[RANGE_VALIDATION_MAX]],19,FALSE)</f>
        <v>1</v>
      </c>
      <c r="G206" s="281">
        <f t="shared" ca="1" si="33"/>
        <v>1</v>
      </c>
      <c r="H206" s="215"/>
      <c r="I206" s="503"/>
      <c r="J206" s="504"/>
      <c r="K206" s="504"/>
      <c r="L206" s="504"/>
      <c r="M206" s="504"/>
      <c r="N206" s="504"/>
      <c r="O206" s="504"/>
      <c r="P206" s="504"/>
      <c r="Q206" s="504"/>
      <c r="R206" s="504"/>
      <c r="S206" s="504"/>
      <c r="T206" s="504"/>
      <c r="U206" s="504"/>
      <c r="V206" s="504"/>
      <c r="W206" s="505"/>
      <c r="X206" s="153"/>
      <c r="Y206" s="194"/>
    </row>
    <row r="207" spans="1:25" ht="21.95" customHeight="1" x14ac:dyDescent="0.2">
      <c r="A207" s="273" t="s">
        <v>2700</v>
      </c>
      <c r="B207" s="288" t="str">
        <f>IF(I287&lt;&gt;"",I287,"")</f>
        <v/>
      </c>
      <c r="C207" s="281">
        <f ca="1">VLOOKUP(A207,DB_TBL_DATA_FIELDS[[FIELD_ID]:[PCT_CALC_FIELD_STATUS_CODE]],22,FALSE)</f>
        <v>-1</v>
      </c>
      <c r="D207" s="281" t="str">
        <f>IF(VLOOKUP(A207,DB_TBL_DATA_FIELDS[[FIELD_ID]:[ERROR_MESSAGE]],23,FALSE)&lt;&gt;0,VLOOKUP(A207,DB_TBL_DATA_FIELDS[[FIELD_ID]:[ERROR_MESSAGE]],23,FALSE),"")</f>
        <v/>
      </c>
      <c r="E207" s="281">
        <f>VLOOKUP(A207,DB_TBL_DATA_FIELDS[[#All],[FIELD_ID]:[RANGE_VALIDATION_MAX]],18,FALSE)</f>
        <v>0</v>
      </c>
      <c r="F207" s="281">
        <f>VLOOKUP(A207,DB_TBL_DATA_FIELDS[[#All],[FIELD_ID]:[RANGE_VALIDATION_MAX]],19,FALSE)</f>
        <v>1000</v>
      </c>
      <c r="G207" s="281" t="str">
        <f t="shared" ca="1" si="33"/>
        <v/>
      </c>
      <c r="H207" s="215"/>
      <c r="I207" s="503"/>
      <c r="J207" s="504"/>
      <c r="K207" s="504"/>
      <c r="L207" s="504"/>
      <c r="M207" s="504"/>
      <c r="N207" s="504"/>
      <c r="O207" s="504"/>
      <c r="P207" s="504"/>
      <c r="Q207" s="504"/>
      <c r="R207" s="504"/>
      <c r="S207" s="504"/>
      <c r="T207" s="504"/>
      <c r="U207" s="504"/>
      <c r="V207" s="504"/>
      <c r="W207" s="505"/>
      <c r="X207" s="153"/>
      <c r="Y207" s="194"/>
    </row>
    <row r="208" spans="1:25" ht="21.95" customHeight="1" x14ac:dyDescent="0.2">
      <c r="A208" s="290" t="s">
        <v>289</v>
      </c>
      <c r="B208" s="282" t="str">
        <f>"C"&amp;ROW(A195)&amp;":C"&amp;(ROW()-1)</f>
        <v>C195:C207</v>
      </c>
      <c r="C208" s="281"/>
      <c r="D208" s="281"/>
      <c r="E208" s="281"/>
      <c r="F208" s="281"/>
      <c r="G208" s="281"/>
      <c r="H208" s="215"/>
      <c r="I208" s="503"/>
      <c r="J208" s="504"/>
      <c r="K208" s="504"/>
      <c r="L208" s="504"/>
      <c r="M208" s="504"/>
      <c r="N208" s="504"/>
      <c r="O208" s="504"/>
      <c r="P208" s="504"/>
      <c r="Q208" s="504"/>
      <c r="R208" s="504"/>
      <c r="S208" s="504"/>
      <c r="T208" s="504"/>
      <c r="U208" s="504"/>
      <c r="V208" s="504"/>
      <c r="W208" s="505"/>
      <c r="X208" s="153"/>
      <c r="Y208" s="194"/>
    </row>
    <row r="209" spans="1:25" ht="21.95" customHeight="1" x14ac:dyDescent="0.2">
      <c r="A209" s="290" t="s">
        <v>290</v>
      </c>
      <c r="B209" s="282">
        <f ca="1">COUNTIF(INDIRECT($B208),2)</f>
        <v>0</v>
      </c>
      <c r="C209" s="281"/>
      <c r="D209" s="281"/>
      <c r="E209" s="281"/>
      <c r="F209" s="281"/>
      <c r="G209" s="281"/>
      <c r="H209" s="215"/>
      <c r="I209" s="503"/>
      <c r="J209" s="504"/>
      <c r="K209" s="504"/>
      <c r="L209" s="504"/>
      <c r="M209" s="504"/>
      <c r="N209" s="504"/>
      <c r="O209" s="504"/>
      <c r="P209" s="504"/>
      <c r="Q209" s="504"/>
      <c r="R209" s="504"/>
      <c r="S209" s="504"/>
      <c r="T209" s="504"/>
      <c r="U209" s="504"/>
      <c r="V209" s="504"/>
      <c r="W209" s="505"/>
      <c r="X209" s="153"/>
      <c r="Y209" s="194"/>
    </row>
    <row r="210" spans="1:25" ht="21.95" customHeight="1" x14ac:dyDescent="0.2">
      <c r="A210" s="290" t="s">
        <v>291</v>
      </c>
      <c r="B210" s="282">
        <f ca="1">COUNTIF(INDIRECT($B208),0)+COUNTIF(INDIRECT($B208),1)+COUNTIF(INDIRECT($B208),2)</f>
        <v>8</v>
      </c>
      <c r="C210" s="281"/>
      <c r="D210" s="281"/>
      <c r="E210" s="281"/>
      <c r="F210" s="281"/>
      <c r="G210" s="281"/>
      <c r="H210" s="215"/>
      <c r="I210" s="503"/>
      <c r="J210" s="504"/>
      <c r="K210" s="504"/>
      <c r="L210" s="504"/>
      <c r="M210" s="504"/>
      <c r="N210" s="504"/>
      <c r="O210" s="504"/>
      <c r="P210" s="504"/>
      <c r="Q210" s="504"/>
      <c r="R210" s="504"/>
      <c r="S210" s="504"/>
      <c r="T210" s="504"/>
      <c r="U210" s="504"/>
      <c r="V210" s="504"/>
      <c r="W210" s="505"/>
      <c r="X210" s="153"/>
      <c r="Y210" s="194"/>
    </row>
    <row r="211" spans="1:25" ht="21.95" customHeight="1" x14ac:dyDescent="0.2">
      <c r="A211" s="290" t="s">
        <v>292</v>
      </c>
      <c r="B211" s="282">
        <f ca="1">COUNTIF(INDIRECT($B208),0)</f>
        <v>0</v>
      </c>
      <c r="C211" s="281" t="s">
        <v>2607</v>
      </c>
      <c r="D211" s="281"/>
      <c r="E211" s="281"/>
      <c r="F211" s="281"/>
      <c r="G211" s="281"/>
      <c r="H211" s="215"/>
      <c r="I211" s="503"/>
      <c r="J211" s="504"/>
      <c r="K211" s="504"/>
      <c r="L211" s="504"/>
      <c r="M211" s="504"/>
      <c r="N211" s="504"/>
      <c r="O211" s="504"/>
      <c r="P211" s="504"/>
      <c r="Q211" s="504"/>
      <c r="R211" s="504"/>
      <c r="S211" s="504"/>
      <c r="T211" s="504"/>
      <c r="U211" s="504"/>
      <c r="V211" s="504"/>
      <c r="W211" s="505"/>
      <c r="X211" s="153"/>
      <c r="Y211" s="194"/>
    </row>
    <row r="212" spans="1:25" ht="21.95" customHeight="1" x14ac:dyDescent="0.2">
      <c r="A212" s="290" t="s">
        <v>293</v>
      </c>
      <c r="B212" s="282">
        <f ca="1">B209/B210</f>
        <v>0</v>
      </c>
      <c r="C212" s="281"/>
      <c r="D212" s="281"/>
      <c r="E212" s="281"/>
      <c r="F212" s="281"/>
      <c r="G212" s="281"/>
      <c r="H212" s="215"/>
      <c r="I212" s="503"/>
      <c r="J212" s="504"/>
      <c r="K212" s="504"/>
      <c r="L212" s="504"/>
      <c r="M212" s="504"/>
      <c r="N212" s="504"/>
      <c r="O212" s="504"/>
      <c r="P212" s="504"/>
      <c r="Q212" s="504"/>
      <c r="R212" s="504"/>
      <c r="S212" s="504"/>
      <c r="T212" s="504"/>
      <c r="U212" s="504"/>
      <c r="V212" s="504"/>
      <c r="W212" s="505"/>
      <c r="X212" s="153"/>
      <c r="Y212" s="194"/>
    </row>
    <row r="213" spans="1:25" ht="21.95" customHeight="1" x14ac:dyDescent="0.2">
      <c r="A213" s="290" t="s">
        <v>294</v>
      </c>
      <c r="B213" s="292" t="str">
        <f ca="1">IF(B211&gt;0,"Data Error(s)",IF(B212=0,"Not Started",IF(B212&lt;1,ROUNDUP(B212*100,0)&amp;"% Done",IF(B212&gt;1,"Optional","Complete"))))</f>
        <v>Not Started</v>
      </c>
      <c r="C213" s="281"/>
      <c r="D213" s="281"/>
      <c r="E213" s="281"/>
      <c r="F213" s="281"/>
      <c r="G213" s="281"/>
      <c r="H213" s="215"/>
      <c r="I213" s="503"/>
      <c r="J213" s="504"/>
      <c r="K213" s="504"/>
      <c r="L213" s="504"/>
      <c r="M213" s="504"/>
      <c r="N213" s="504"/>
      <c r="O213" s="504"/>
      <c r="P213" s="504"/>
      <c r="Q213" s="504"/>
      <c r="R213" s="504"/>
      <c r="S213" s="504"/>
      <c r="T213" s="504"/>
      <c r="U213" s="504"/>
      <c r="V213" s="504"/>
      <c r="W213" s="505"/>
      <c r="X213" s="153"/>
      <c r="Y213" s="194"/>
    </row>
    <row r="214" spans="1:25" ht="21.95" customHeight="1" x14ac:dyDescent="0.2">
      <c r="A214" s="290" t="s">
        <v>295</v>
      </c>
      <c r="B214" s="282" t="str">
        <f ca="1">IF(B211&gt;0,0,IF(B212&lt;1,"",2))</f>
        <v/>
      </c>
      <c r="C214" s="281"/>
      <c r="D214" s="281"/>
      <c r="E214" s="281"/>
      <c r="F214" s="281"/>
      <c r="G214" s="281"/>
      <c r="H214" s="215"/>
      <c r="I214" s="503"/>
      <c r="J214" s="504"/>
      <c r="K214" s="504"/>
      <c r="L214" s="504"/>
      <c r="M214" s="504"/>
      <c r="N214" s="504"/>
      <c r="O214" s="504"/>
      <c r="P214" s="504"/>
      <c r="Q214" s="504"/>
      <c r="R214" s="504"/>
      <c r="S214" s="504"/>
      <c r="T214" s="504"/>
      <c r="U214" s="504"/>
      <c r="V214" s="504"/>
      <c r="W214" s="505"/>
      <c r="X214" s="153"/>
      <c r="Y214" s="194"/>
    </row>
    <row r="215" spans="1:25" ht="21.95" customHeight="1" x14ac:dyDescent="0.2">
      <c r="A215" s="290" t="s">
        <v>296</v>
      </c>
      <c r="B215" s="293" t="s">
        <v>2687</v>
      </c>
      <c r="C215" s="281"/>
      <c r="D215" s="281"/>
      <c r="E215" s="281"/>
      <c r="F215" s="281"/>
      <c r="G215" s="281"/>
      <c r="H215" s="215"/>
      <c r="I215" s="506"/>
      <c r="J215" s="507"/>
      <c r="K215" s="507"/>
      <c r="L215" s="507"/>
      <c r="M215" s="507"/>
      <c r="N215" s="507"/>
      <c r="O215" s="507"/>
      <c r="P215" s="507"/>
      <c r="Q215" s="507"/>
      <c r="R215" s="507"/>
      <c r="S215" s="507"/>
      <c r="T215" s="507"/>
      <c r="U215" s="507"/>
      <c r="V215" s="507"/>
      <c r="W215" s="508"/>
      <c r="X215" s="153"/>
      <c r="Y215" s="194"/>
    </row>
    <row r="216" spans="1:25" ht="21.95" customHeight="1" x14ac:dyDescent="0.2">
      <c r="A216" s="294" t="s">
        <v>2340</v>
      </c>
      <c r="B216" s="282">
        <v>0</v>
      </c>
      <c r="C216" s="281" t="s">
        <v>2462</v>
      </c>
      <c r="D216" s="281"/>
      <c r="E216" s="281"/>
      <c r="F216" s="281"/>
      <c r="G216" s="281"/>
      <c r="H216" s="215"/>
      <c r="I216" s="224"/>
      <c r="J216" s="224"/>
      <c r="K216" s="224"/>
      <c r="L216" s="224"/>
      <c r="M216" s="224"/>
      <c r="N216" s="224"/>
      <c r="O216" s="224"/>
      <c r="P216" s="153"/>
      <c r="Q216" s="194"/>
      <c r="R216" s="153"/>
      <c r="S216" s="194"/>
      <c r="T216" s="153"/>
      <c r="U216" s="194"/>
      <c r="V216" s="153"/>
      <c r="W216" s="194"/>
      <c r="X216" s="153"/>
      <c r="Y216" s="194"/>
    </row>
    <row r="217" spans="1:25" ht="21.95" customHeight="1" thickBot="1" x14ac:dyDescent="0.25">
      <c r="A217" s="294" t="s">
        <v>2341</v>
      </c>
      <c r="B217" s="282" t="b">
        <f>(B216&gt;0)</f>
        <v>0</v>
      </c>
      <c r="C217" s="281"/>
      <c r="D217" s="281"/>
      <c r="E217" s="281"/>
      <c r="F217" s="281"/>
      <c r="G217" s="281"/>
      <c r="H217" s="215"/>
      <c r="I217" s="216" t="s">
        <v>3435</v>
      </c>
      <c r="J217" s="222"/>
      <c r="K217" s="222"/>
      <c r="L217" s="222"/>
      <c r="M217" s="222"/>
      <c r="N217" s="222"/>
      <c r="O217" s="222"/>
      <c r="P217" s="217"/>
      <c r="Q217" s="223"/>
      <c r="R217" s="217"/>
      <c r="S217" s="223"/>
      <c r="T217" s="217"/>
      <c r="U217" s="223"/>
      <c r="V217" s="217"/>
      <c r="W217" s="223"/>
      <c r="X217" s="153"/>
      <c r="Y217" s="194"/>
    </row>
    <row r="218" spans="1:25" ht="21.95" customHeight="1" thickTop="1" x14ac:dyDescent="0.2">
      <c r="A218" s="285" t="s">
        <v>297</v>
      </c>
      <c r="B218" s="305" t="s">
        <v>2868</v>
      </c>
      <c r="C218" s="287"/>
      <c r="D218" s="287"/>
      <c r="E218" s="287"/>
      <c r="F218" s="287"/>
      <c r="G218" s="172" t="str">
        <f>B235</f>
        <v>Project Sponsor Profile</v>
      </c>
      <c r="H218" s="215"/>
      <c r="I218" s="233" t="s">
        <v>3463</v>
      </c>
      <c r="J218" s="234"/>
      <c r="K218" s="234"/>
      <c r="L218" s="234"/>
      <c r="M218" s="234"/>
      <c r="N218" s="234"/>
      <c r="O218" s="234"/>
      <c r="P218" s="234"/>
      <c r="Q218" s="234"/>
      <c r="R218" s="234"/>
      <c r="S218" s="234"/>
      <c r="T218" s="234"/>
      <c r="U218" s="234"/>
      <c r="V218" s="234"/>
      <c r="W218" s="175" t="str">
        <f>SUBSTITUTE(SUBSTITUTE(SUBSTITUTE(IF(LEN(B162)&gt;F162,CONFIG_CHAR_LIMIT_TEMPLATE_ERR,CONFIG_CHAR_LIMIT_TEMPLATE),"[diff]",ABS(LEN(B162)-F162)),"[limit]",F162),"[used]",LEN(B162))</f>
        <v>2000 character(s) remaining</v>
      </c>
      <c r="X218" s="153"/>
      <c r="Y218" s="194"/>
    </row>
    <row r="219" spans="1:25" ht="21.95" customHeight="1" x14ac:dyDescent="0.2">
      <c r="A219" s="297" t="s">
        <v>2751</v>
      </c>
      <c r="B219" s="298" t="str">
        <f>""</f>
        <v/>
      </c>
      <c r="C219" s="299"/>
      <c r="D219" s="299"/>
      <c r="E219" s="299"/>
      <c r="F219" s="299"/>
      <c r="G219" s="299"/>
      <c r="H219" s="215"/>
      <c r="I219" s="500"/>
      <c r="J219" s="501"/>
      <c r="K219" s="501"/>
      <c r="L219" s="501"/>
      <c r="M219" s="501"/>
      <c r="N219" s="501"/>
      <c r="O219" s="501"/>
      <c r="P219" s="501"/>
      <c r="Q219" s="501"/>
      <c r="R219" s="501"/>
      <c r="S219" s="501"/>
      <c r="T219" s="501"/>
      <c r="U219" s="501"/>
      <c r="V219" s="501"/>
      <c r="W219" s="502"/>
      <c r="X219" s="165">
        <f ca="1">G162</f>
        <v>1</v>
      </c>
      <c r="Y219" s="194"/>
    </row>
    <row r="220" spans="1:25" ht="21.95" customHeight="1" x14ac:dyDescent="0.2">
      <c r="A220" s="273" t="s">
        <v>2752</v>
      </c>
      <c r="B220" s="288" t="str">
        <f>IF(I296&lt;&gt;"",I296,"")</f>
        <v/>
      </c>
      <c r="C220" s="281">
        <f ca="1">VLOOKUP(A220,DB_TBL_DATA_FIELDS[[FIELD_ID]:[PCT_CALC_FIELD_STATUS_CODE]],22,FALSE)</f>
        <v>1</v>
      </c>
      <c r="D220" s="281" t="str">
        <f>IF(VLOOKUP(A220,DB_TBL_DATA_FIELDS[[FIELD_ID]:[ERROR_MESSAGE]],23,FALSE)&lt;&gt;0,VLOOKUP(A220,DB_TBL_DATA_FIELDS[[FIELD_ID]:[ERROR_MESSAGE]],23,FALSE),"")</f>
        <v/>
      </c>
      <c r="E220" s="281">
        <f>VLOOKUP(A220,DB_TBL_DATA_FIELDS[[#All],[FIELD_ID]:[RANGE_VALIDATION_MAX]],18,FALSE)</f>
        <v>0</v>
      </c>
      <c r="F220" s="281">
        <f>VLOOKUP(A220,DB_TBL_DATA_FIELDS[[#All],[FIELD_ID]:[RANGE_VALIDATION_MAX]],19,FALSE)</f>
        <v>32767</v>
      </c>
      <c r="G220" s="281">
        <f t="shared" ref="G220:G227" ca="1" si="34">IF(C220&lt;0,"",C220)</f>
        <v>1</v>
      </c>
      <c r="H220" s="215"/>
      <c r="I220" s="503"/>
      <c r="J220" s="504"/>
      <c r="K220" s="504"/>
      <c r="L220" s="504"/>
      <c r="M220" s="504"/>
      <c r="N220" s="504"/>
      <c r="O220" s="504"/>
      <c r="P220" s="504"/>
      <c r="Q220" s="504"/>
      <c r="R220" s="504"/>
      <c r="S220" s="504"/>
      <c r="T220" s="504"/>
      <c r="U220" s="504"/>
      <c r="V220" s="504"/>
      <c r="W220" s="505"/>
      <c r="X220" s="153"/>
      <c r="Y220" s="194"/>
    </row>
    <row r="221" spans="1:25" ht="21.95" customHeight="1" x14ac:dyDescent="0.2">
      <c r="A221" s="273" t="s">
        <v>3735</v>
      </c>
      <c r="B221" s="288" t="str">
        <f>IF(W302="","",IF(UPPER(W302)="YES",TRUE,FALSE))</f>
        <v/>
      </c>
      <c r="C221" s="281">
        <f ca="1">VLOOKUP(A221,DB_TBL_DATA_FIELDS[[FIELD_ID]:[PCT_CALC_FIELD_STATUS_CODE]],22,FALSE)</f>
        <v>1</v>
      </c>
      <c r="D221" s="281" t="str">
        <f ca="1">IF(VLOOKUP(A221,DB_TBL_DATA_FIELDS[[FIELD_ID]:[ERROR_MESSAGE]],23,FALSE)&lt;&gt;0,VLOOKUP(A221,DB_TBL_DATA_FIELDS[[FIELD_ID]:[ERROR_MESSAGE]],23,FALSE),"")</f>
        <v/>
      </c>
      <c r="E221" s="281">
        <f>VLOOKUP(A221,DB_TBL_DATA_FIELDS[[#All],[FIELD_ID]:[RANGE_VALIDATION_MAX]],18,FALSE)</f>
        <v>0</v>
      </c>
      <c r="F221" s="281">
        <f>VLOOKUP(A221,DB_TBL_DATA_FIELDS[[#All],[FIELD_ID]:[RANGE_VALIDATION_MAX]],19,FALSE)</f>
        <v>1</v>
      </c>
      <c r="G221" s="281">
        <f t="shared" ref="G221:G222" ca="1" si="35">IF(C221&lt;0,"",C221)</f>
        <v>1</v>
      </c>
      <c r="H221" s="215"/>
      <c r="I221" s="503"/>
      <c r="J221" s="504"/>
      <c r="K221" s="504"/>
      <c r="L221" s="504"/>
      <c r="M221" s="504"/>
      <c r="N221" s="504"/>
      <c r="O221" s="504"/>
      <c r="P221" s="504"/>
      <c r="Q221" s="504"/>
      <c r="R221" s="504"/>
      <c r="S221" s="504"/>
      <c r="T221" s="504"/>
      <c r="U221" s="504"/>
      <c r="V221" s="504"/>
      <c r="W221" s="505"/>
      <c r="X221" s="153"/>
      <c r="Y221" s="194"/>
    </row>
    <row r="222" spans="1:25" ht="21.95" customHeight="1" x14ac:dyDescent="0.2">
      <c r="A222" s="273" t="s">
        <v>3736</v>
      </c>
      <c r="B222" s="288" t="str">
        <f>IF(W312="","",IF(UPPER(W312)="YES",TRUE,FALSE))</f>
        <v/>
      </c>
      <c r="C222" s="281">
        <f ca="1">VLOOKUP(A222,DB_TBL_DATA_FIELDS[[FIELD_ID]:[PCT_CALC_FIELD_STATUS_CODE]],22,FALSE)</f>
        <v>1</v>
      </c>
      <c r="D222" s="281" t="str">
        <f>IF(VLOOKUP(A222,DB_TBL_DATA_FIELDS[[FIELD_ID]:[ERROR_MESSAGE]],23,FALSE)&lt;&gt;0,VLOOKUP(A222,DB_TBL_DATA_FIELDS[[FIELD_ID]:[ERROR_MESSAGE]],23,FALSE),"")</f>
        <v/>
      </c>
      <c r="E222" s="281">
        <f>VLOOKUP(A222,DB_TBL_DATA_FIELDS[[#All],[FIELD_ID]:[RANGE_VALIDATION_MAX]],18,FALSE)</f>
        <v>0</v>
      </c>
      <c r="F222" s="281">
        <f>VLOOKUP(A222,DB_TBL_DATA_FIELDS[[#All],[FIELD_ID]:[RANGE_VALIDATION_MAX]],19,FALSE)</f>
        <v>1</v>
      </c>
      <c r="G222" s="281">
        <f t="shared" ca="1" si="35"/>
        <v>1</v>
      </c>
      <c r="H222" s="215"/>
      <c r="I222" s="503"/>
      <c r="J222" s="504"/>
      <c r="K222" s="504"/>
      <c r="L222" s="504"/>
      <c r="M222" s="504"/>
      <c r="N222" s="504"/>
      <c r="O222" s="504"/>
      <c r="P222" s="504"/>
      <c r="Q222" s="504"/>
      <c r="R222" s="504"/>
      <c r="S222" s="504"/>
      <c r="T222" s="504"/>
      <c r="U222" s="504"/>
      <c r="V222" s="504"/>
      <c r="W222" s="505"/>
      <c r="X222" s="153"/>
      <c r="Y222" s="194"/>
    </row>
    <row r="223" spans="1:25" ht="21.95" customHeight="1" x14ac:dyDescent="0.2">
      <c r="A223" s="273" t="s">
        <v>2753</v>
      </c>
      <c r="B223" s="288" t="str">
        <f>IF(I316&lt;&gt;"",I316,"")</f>
        <v/>
      </c>
      <c r="C223" s="281">
        <f ca="1">VLOOKUP(A223,DB_TBL_DATA_FIELDS[[FIELD_ID]:[PCT_CALC_FIELD_STATUS_CODE]],22,FALSE)</f>
        <v>1</v>
      </c>
      <c r="D223" s="281" t="str">
        <f>IF(VLOOKUP(A223,DB_TBL_DATA_FIELDS[[FIELD_ID]:[ERROR_MESSAGE]],23,FALSE)&lt;&gt;0,VLOOKUP(A223,DB_TBL_DATA_FIELDS[[FIELD_ID]:[ERROR_MESSAGE]],23,FALSE),"")</f>
        <v/>
      </c>
      <c r="E223" s="281">
        <f>VLOOKUP(A223,DB_TBL_DATA_FIELDS[[#All],[FIELD_ID]:[RANGE_VALIDATION_MAX]],18,FALSE)</f>
        <v>0</v>
      </c>
      <c r="F223" s="281">
        <f>VLOOKUP(A223,DB_TBL_DATA_FIELDS[[#All],[FIELD_ID]:[RANGE_VALIDATION_MAX]],19,FALSE)</f>
        <v>1500</v>
      </c>
      <c r="G223" s="281">
        <f t="shared" ca="1" si="34"/>
        <v>1</v>
      </c>
      <c r="H223" s="215"/>
      <c r="I223" s="503"/>
      <c r="J223" s="504"/>
      <c r="K223" s="504"/>
      <c r="L223" s="504"/>
      <c r="M223" s="504"/>
      <c r="N223" s="504"/>
      <c r="O223" s="504"/>
      <c r="P223" s="504"/>
      <c r="Q223" s="504"/>
      <c r="R223" s="504"/>
      <c r="S223" s="504"/>
      <c r="T223" s="504"/>
      <c r="U223" s="504"/>
      <c r="V223" s="504"/>
      <c r="W223" s="505"/>
      <c r="X223" s="153"/>
      <c r="Y223" s="194"/>
    </row>
    <row r="224" spans="1:25" ht="21.95" customHeight="1" x14ac:dyDescent="0.2">
      <c r="A224" s="273" t="s">
        <v>2754</v>
      </c>
      <c r="B224" s="288" t="str">
        <f>IF(I324&lt;&gt;"",I324,"")</f>
        <v/>
      </c>
      <c r="C224" s="281">
        <f ca="1">VLOOKUP(A224,DB_TBL_DATA_FIELDS[[FIELD_ID]:[PCT_CALC_FIELD_STATUS_CODE]],22,FALSE)</f>
        <v>1</v>
      </c>
      <c r="D224" s="281" t="str">
        <f>IF(VLOOKUP(A224,DB_TBL_DATA_FIELDS[[FIELD_ID]:[ERROR_MESSAGE]],23,FALSE)&lt;&gt;0,VLOOKUP(A224,DB_TBL_DATA_FIELDS[[FIELD_ID]:[ERROR_MESSAGE]],23,FALSE),"")</f>
        <v/>
      </c>
      <c r="E224" s="281">
        <f>VLOOKUP(A224,DB_TBL_DATA_FIELDS[[#All],[FIELD_ID]:[RANGE_VALIDATION_MAX]],18,FALSE)</f>
        <v>0</v>
      </c>
      <c r="F224" s="281">
        <f>VLOOKUP(A224,DB_TBL_DATA_FIELDS[[#All],[FIELD_ID]:[RANGE_VALIDATION_MAX]],19,FALSE)</f>
        <v>2000</v>
      </c>
      <c r="G224" s="281">
        <f t="shared" ca="1" si="34"/>
        <v>1</v>
      </c>
      <c r="H224" s="215"/>
      <c r="I224" s="503"/>
      <c r="J224" s="504"/>
      <c r="K224" s="504"/>
      <c r="L224" s="504"/>
      <c r="M224" s="504"/>
      <c r="N224" s="504"/>
      <c r="O224" s="504"/>
      <c r="P224" s="504"/>
      <c r="Q224" s="504"/>
      <c r="R224" s="504"/>
      <c r="S224" s="504"/>
      <c r="T224" s="504"/>
      <c r="U224" s="504"/>
      <c r="V224" s="504"/>
      <c r="W224" s="505"/>
      <c r="X224" s="153"/>
      <c r="Y224" s="194"/>
    </row>
    <row r="225" spans="1:25" ht="21.95" customHeight="1" x14ac:dyDescent="0.2">
      <c r="A225" s="273" t="s">
        <v>2755</v>
      </c>
      <c r="B225" s="288" t="str">
        <f>IF(COUNTIF(I335:W344,"&lt;&gt;")&gt;0," ","")</f>
        <v/>
      </c>
      <c r="C225" s="281">
        <f ca="1">VLOOKUP(A225,DB_TBL_DATA_FIELDS[[FIELD_ID]:[PCT_CALC_FIELD_STATUS_CODE]],22,FALSE)</f>
        <v>-1</v>
      </c>
      <c r="D225" s="281" t="str">
        <f>IF(VLOOKUP(A225,DB_TBL_DATA_FIELDS[[FIELD_ID]:[ERROR_MESSAGE]],23,FALSE)&lt;&gt;0,VLOOKUP(A225,DB_TBL_DATA_FIELDS[[FIELD_ID]:[ERROR_MESSAGE]],23,FALSE),"")</f>
        <v/>
      </c>
      <c r="E225" s="281">
        <f>VLOOKUP(A225,DB_TBL_DATA_FIELDS[[#All],[FIELD_ID]:[RANGE_VALIDATION_MAX]],18,FALSE)</f>
        <v>0</v>
      </c>
      <c r="F225" s="281">
        <f>VLOOKUP(A225,DB_TBL_DATA_FIELDS[[#All],[FIELD_ID]:[RANGE_VALIDATION_MAX]],19,FALSE)</f>
        <v>2000</v>
      </c>
      <c r="G225" s="281" t="str">
        <f t="shared" ref="G225" ca="1" si="36">IF(C225&lt;0,"",C225)</f>
        <v/>
      </c>
      <c r="H225" s="215"/>
      <c r="I225" s="503"/>
      <c r="J225" s="504"/>
      <c r="K225" s="504"/>
      <c r="L225" s="504"/>
      <c r="M225" s="504"/>
      <c r="N225" s="504"/>
      <c r="O225" s="504"/>
      <c r="P225" s="504"/>
      <c r="Q225" s="504"/>
      <c r="R225" s="504"/>
      <c r="S225" s="504"/>
      <c r="T225" s="504"/>
      <c r="U225" s="504"/>
      <c r="V225" s="504"/>
      <c r="W225" s="505"/>
      <c r="X225" s="153"/>
      <c r="Y225" s="194"/>
    </row>
    <row r="226" spans="1:25" ht="21.95" customHeight="1" x14ac:dyDescent="0.2">
      <c r="A226" s="273" t="s">
        <v>2756</v>
      </c>
      <c r="B226" s="288" t="str">
        <f>IF(COUNTIF(I347:W356,"&lt;&gt;")&gt;0," ","")</f>
        <v/>
      </c>
      <c r="C226" s="281">
        <f ca="1">VLOOKUP(A226,DB_TBL_DATA_FIELDS[[FIELD_ID]:[PCT_CALC_FIELD_STATUS_CODE]],22,FALSE)</f>
        <v>-1</v>
      </c>
      <c r="D226" s="281" t="str">
        <f>IF(VLOOKUP(A226,DB_TBL_DATA_FIELDS[[FIELD_ID]:[ERROR_MESSAGE]],23,FALSE)&lt;&gt;0,VLOOKUP(A226,DB_TBL_DATA_FIELDS[[FIELD_ID]:[ERROR_MESSAGE]],23,FALSE),"")</f>
        <v/>
      </c>
      <c r="E226" s="281">
        <f>VLOOKUP(A226,DB_TBL_DATA_FIELDS[[#All],[FIELD_ID]:[RANGE_VALIDATION_MAX]],18,FALSE)</f>
        <v>0</v>
      </c>
      <c r="F226" s="281">
        <f>VLOOKUP(A226,DB_TBL_DATA_FIELDS[[#All],[FIELD_ID]:[RANGE_VALIDATION_MAX]],19,FALSE)</f>
        <v>1500</v>
      </c>
      <c r="G226" s="281" t="str">
        <f t="shared" ref="G226" ca="1" si="37">IF(C226&lt;0,"",C226)</f>
        <v/>
      </c>
      <c r="H226" s="215"/>
      <c r="I226" s="503"/>
      <c r="J226" s="504"/>
      <c r="K226" s="504"/>
      <c r="L226" s="504"/>
      <c r="M226" s="504"/>
      <c r="N226" s="504"/>
      <c r="O226" s="504"/>
      <c r="P226" s="504"/>
      <c r="Q226" s="504"/>
      <c r="R226" s="504"/>
      <c r="S226" s="504"/>
      <c r="T226" s="504"/>
      <c r="U226" s="504"/>
      <c r="V226" s="504"/>
      <c r="W226" s="505"/>
      <c r="X226" s="153"/>
      <c r="Y226" s="194"/>
    </row>
    <row r="227" spans="1:25" ht="21.95" customHeight="1" x14ac:dyDescent="0.2">
      <c r="A227" s="273" t="s">
        <v>2757</v>
      </c>
      <c r="B227" s="288" t="str">
        <f>IF(I359&lt;&gt;"",I359,"")</f>
        <v/>
      </c>
      <c r="C227" s="281">
        <f ca="1">VLOOKUP(A227,DB_TBL_DATA_FIELDS[[FIELD_ID]:[PCT_CALC_FIELD_STATUS_CODE]],22,FALSE)</f>
        <v>1</v>
      </c>
      <c r="D227" s="281" t="str">
        <f>IF(VLOOKUP(A227,DB_TBL_DATA_FIELDS[[FIELD_ID]:[ERROR_MESSAGE]],23,FALSE)&lt;&gt;0,VLOOKUP(A227,DB_TBL_DATA_FIELDS[[FIELD_ID]:[ERROR_MESSAGE]],23,FALSE),"")</f>
        <v/>
      </c>
      <c r="E227" s="281">
        <f>VLOOKUP(A227,DB_TBL_DATA_FIELDS[[#All],[FIELD_ID]:[RANGE_VALIDATION_MAX]],18,FALSE)</f>
        <v>0</v>
      </c>
      <c r="F227" s="281">
        <f>VLOOKUP(A227,DB_TBL_DATA_FIELDS[[#All],[FIELD_ID]:[RANGE_VALIDATION_MAX]],19,FALSE)</f>
        <v>1500</v>
      </c>
      <c r="G227" s="281">
        <f t="shared" ca="1" si="34"/>
        <v>1</v>
      </c>
      <c r="H227" s="215"/>
      <c r="I227" s="506"/>
      <c r="J227" s="507"/>
      <c r="K227" s="507"/>
      <c r="L227" s="507"/>
      <c r="M227" s="507"/>
      <c r="N227" s="507"/>
      <c r="O227" s="507"/>
      <c r="P227" s="507"/>
      <c r="Q227" s="507"/>
      <c r="R227" s="507"/>
      <c r="S227" s="507"/>
      <c r="T227" s="507"/>
      <c r="U227" s="507"/>
      <c r="V227" s="507"/>
      <c r="W227" s="508"/>
      <c r="X227" s="153"/>
      <c r="Y227" s="194"/>
    </row>
    <row r="228" spans="1:25" ht="21.95" customHeight="1" x14ac:dyDescent="0.2">
      <c r="A228" s="290" t="s">
        <v>298</v>
      </c>
      <c r="B228" s="282" t="str">
        <f>"C"&amp;MATCH(LEFT(A228,LEN(A228)-LEN("_RANGE")),A:A,0)+1&amp;":C"&amp;(ROW()-1)</f>
        <v>C219:C227</v>
      </c>
      <c r="C228" s="281"/>
      <c r="D228" s="281"/>
      <c r="E228" s="281"/>
      <c r="F228" s="281"/>
      <c r="G228" s="281"/>
      <c r="H228" s="215"/>
      <c r="I228" s="224"/>
      <c r="J228" s="224"/>
      <c r="K228" s="224"/>
      <c r="L228" s="224"/>
      <c r="M228" s="224"/>
      <c r="N228" s="224"/>
      <c r="O228" s="224"/>
      <c r="P228" s="153"/>
      <c r="Q228" s="194"/>
      <c r="R228" s="153"/>
      <c r="S228" s="194"/>
      <c r="T228" s="153"/>
      <c r="U228" s="194"/>
      <c r="V228" s="153"/>
      <c r="W228" s="194"/>
      <c r="X228" s="153"/>
      <c r="Y228" s="194"/>
    </row>
    <row r="229" spans="1:25" ht="21.95" customHeight="1" thickBot="1" x14ac:dyDescent="0.25">
      <c r="A229" s="290" t="s">
        <v>299</v>
      </c>
      <c r="B229" s="282">
        <f ca="1">COUNTIF(INDIRECT($B228),2)</f>
        <v>0</v>
      </c>
      <c r="C229" s="281"/>
      <c r="D229" s="281"/>
      <c r="E229" s="281"/>
      <c r="F229" s="281"/>
      <c r="G229" s="281"/>
      <c r="H229" s="215"/>
      <c r="I229" s="216" t="s">
        <v>2596</v>
      </c>
      <c r="J229" s="222"/>
      <c r="K229" s="222"/>
      <c r="L229" s="222"/>
      <c r="M229" s="222"/>
      <c r="N229" s="222"/>
      <c r="O229" s="222"/>
      <c r="P229" s="217"/>
      <c r="Q229" s="223"/>
      <c r="R229" s="217"/>
      <c r="S229" s="223"/>
      <c r="T229" s="217"/>
      <c r="U229" s="223"/>
      <c r="V229" s="217"/>
      <c r="W229" s="223"/>
      <c r="X229" s="153"/>
      <c r="Y229" s="194"/>
    </row>
    <row r="230" spans="1:25" ht="21.95" customHeight="1" thickTop="1" x14ac:dyDescent="0.2">
      <c r="A230" s="290" t="s">
        <v>300</v>
      </c>
      <c r="B230" s="282">
        <f ca="1">COUNTIF(INDIRECT($B228),0)+COUNTIF(INDIRECT($B228),1)+COUNTIF(INDIRECT($B228),2)</f>
        <v>6</v>
      </c>
      <c r="C230" s="281"/>
      <c r="D230" s="281"/>
      <c r="E230" s="281"/>
      <c r="F230" s="281"/>
      <c r="G230" s="281"/>
      <c r="H230" s="215"/>
      <c r="I230" s="204" t="s">
        <v>3540</v>
      </c>
      <c r="J230" s="142"/>
      <c r="K230" s="142"/>
      <c r="L230" s="142"/>
      <c r="M230" s="142"/>
      <c r="N230" s="142"/>
      <c r="O230" s="142"/>
      <c r="P230" s="142"/>
      <c r="Q230" s="142"/>
      <c r="R230" s="142"/>
      <c r="S230" s="142"/>
      <c r="T230" s="142"/>
      <c r="U230" s="142"/>
      <c r="V230" s="142"/>
      <c r="W230" s="142"/>
      <c r="X230" s="455"/>
      <c r="Y230" s="194"/>
    </row>
    <row r="231" spans="1:25" ht="21.95" customHeight="1" x14ac:dyDescent="0.2">
      <c r="A231" s="290" t="s">
        <v>301</v>
      </c>
      <c r="B231" s="282">
        <f ca="1">COUNTIF(INDIRECT($B228),0)</f>
        <v>0</v>
      </c>
      <c r="C231" s="281" t="s">
        <v>2607</v>
      </c>
      <c r="D231" s="281"/>
      <c r="E231" s="281"/>
      <c r="F231" s="281"/>
      <c r="G231" s="281"/>
      <c r="H231" s="215"/>
      <c r="I231" s="204" t="s">
        <v>3541</v>
      </c>
      <c r="J231" s="142"/>
      <c r="K231" s="142"/>
      <c r="L231" s="142"/>
      <c r="M231" s="142"/>
      <c r="N231" s="142"/>
      <c r="O231" s="142"/>
      <c r="P231" s="142"/>
      <c r="Q231" s="142"/>
      <c r="R231" s="142"/>
      <c r="S231" s="142"/>
      <c r="T231" s="142"/>
      <c r="U231" s="142"/>
      <c r="V231" s="142"/>
      <c r="W231" s="175" t="str">
        <f>SUBSTITUTE(SUBSTITUTE(SUBSTITUTE(IF(LEN(B163)&gt;F163,CONFIG_CHAR_LIMIT_TEMPLATE_ERR,CONFIG_CHAR_LIMIT_TEMPLATE),"[diff]",ABS(LEN(B163)-F163)),"[limit]",F163),"[used]",LEN(B163))</f>
        <v>2000 character(s) remaining</v>
      </c>
      <c r="X231" s="660"/>
      <c r="Y231" s="194"/>
    </row>
    <row r="232" spans="1:25" ht="21.95" customHeight="1" x14ac:dyDescent="0.2">
      <c r="A232" s="290" t="s">
        <v>302</v>
      </c>
      <c r="B232" s="291">
        <f ca="1">IFERROR(B229/B230,1.01)</f>
        <v>0</v>
      </c>
      <c r="C232" s="281"/>
      <c r="D232" s="281"/>
      <c r="E232" s="281"/>
      <c r="F232" s="281"/>
      <c r="G232" s="281"/>
      <c r="H232" s="215"/>
      <c r="I232" s="500"/>
      <c r="J232" s="501"/>
      <c r="K232" s="501"/>
      <c r="L232" s="501"/>
      <c r="M232" s="501"/>
      <c r="N232" s="501"/>
      <c r="O232" s="501"/>
      <c r="P232" s="501"/>
      <c r="Q232" s="501"/>
      <c r="R232" s="501"/>
      <c r="S232" s="501"/>
      <c r="T232" s="501"/>
      <c r="U232" s="501"/>
      <c r="V232" s="501"/>
      <c r="W232" s="502"/>
      <c r="X232" s="165">
        <f ca="1">G163</f>
        <v>1</v>
      </c>
      <c r="Y232" s="194"/>
    </row>
    <row r="233" spans="1:25" ht="21.95" customHeight="1" x14ac:dyDescent="0.2">
      <c r="A233" s="290" t="s">
        <v>303</v>
      </c>
      <c r="B233" s="292" t="str">
        <f ca="1">IF(B231&gt;0,"Data Error(s)",IF(B232=0,"Not Started",IF(B232&lt;1,ROUNDUP(B232*100,0)&amp;"% Done",IF(B232&gt;1,"Optional","Complete"))))</f>
        <v>Not Started</v>
      </c>
      <c r="C233" s="281"/>
      <c r="D233" s="281"/>
      <c r="E233" s="281"/>
      <c r="F233" s="281"/>
      <c r="G233" s="281"/>
      <c r="H233" s="215"/>
      <c r="I233" s="503"/>
      <c r="J233" s="504"/>
      <c r="K233" s="504"/>
      <c r="L233" s="504"/>
      <c r="M233" s="504"/>
      <c r="N233" s="504"/>
      <c r="O233" s="504"/>
      <c r="P233" s="504"/>
      <c r="Q233" s="504"/>
      <c r="R233" s="504"/>
      <c r="S233" s="504"/>
      <c r="T233" s="504"/>
      <c r="U233" s="504"/>
      <c r="V233" s="504"/>
      <c r="W233" s="505"/>
      <c r="X233" s="153"/>
      <c r="Y233" s="194"/>
    </row>
    <row r="234" spans="1:25" ht="21.95" customHeight="1" x14ac:dyDescent="0.2">
      <c r="A234" s="290" t="s">
        <v>304</v>
      </c>
      <c r="B234" s="282" t="str">
        <f ca="1">IF(B231&gt;0,0,IF(B232&lt;1,"",2))</f>
        <v/>
      </c>
      <c r="C234" s="281"/>
      <c r="D234" s="281"/>
      <c r="E234" s="281"/>
      <c r="F234" s="281"/>
      <c r="G234" s="281"/>
      <c r="H234" s="215"/>
      <c r="I234" s="503"/>
      <c r="J234" s="504"/>
      <c r="K234" s="504"/>
      <c r="L234" s="504"/>
      <c r="M234" s="504"/>
      <c r="N234" s="504"/>
      <c r="O234" s="504"/>
      <c r="P234" s="504"/>
      <c r="Q234" s="504"/>
      <c r="R234" s="504"/>
      <c r="S234" s="504"/>
      <c r="T234" s="504"/>
      <c r="U234" s="504"/>
      <c r="V234" s="504"/>
      <c r="W234" s="505"/>
      <c r="X234" s="153"/>
      <c r="Y234" s="194"/>
    </row>
    <row r="235" spans="1:25" ht="21.95" customHeight="1" x14ac:dyDescent="0.2">
      <c r="A235" s="290" t="s">
        <v>305</v>
      </c>
      <c r="B235" s="293" t="s">
        <v>2868</v>
      </c>
      <c r="C235" s="281"/>
      <c r="D235" s="281"/>
      <c r="E235" s="281"/>
      <c r="F235" s="281"/>
      <c r="G235" s="281"/>
      <c r="H235" s="215"/>
      <c r="I235" s="503"/>
      <c r="J235" s="504"/>
      <c r="K235" s="504"/>
      <c r="L235" s="504"/>
      <c r="M235" s="504"/>
      <c r="N235" s="504"/>
      <c r="O235" s="504"/>
      <c r="P235" s="504"/>
      <c r="Q235" s="504"/>
      <c r="R235" s="504"/>
      <c r="S235" s="504"/>
      <c r="T235" s="504"/>
      <c r="U235" s="504"/>
      <c r="V235" s="504"/>
      <c r="W235" s="505"/>
      <c r="X235" s="153"/>
      <c r="Y235" s="194"/>
    </row>
    <row r="236" spans="1:25" ht="21.95" customHeight="1" x14ac:dyDescent="0.2">
      <c r="A236" s="294" t="s">
        <v>3739</v>
      </c>
      <c r="B236" s="300" t="str">
        <f ca="1">IF(D221&lt;&gt;"",D221,"")</f>
        <v/>
      </c>
      <c r="C236" s="281">
        <f ca="1">IF(B236="",0,1)</f>
        <v>0</v>
      </c>
      <c r="D236" s="281"/>
      <c r="E236" s="281"/>
      <c r="F236" s="281"/>
      <c r="G236" s="281"/>
      <c r="H236" s="215"/>
      <c r="I236" s="503"/>
      <c r="J236" s="504"/>
      <c r="K236" s="504"/>
      <c r="L236" s="504"/>
      <c r="M236" s="504"/>
      <c r="N236" s="504"/>
      <c r="O236" s="504"/>
      <c r="P236" s="504"/>
      <c r="Q236" s="504"/>
      <c r="R236" s="504"/>
      <c r="S236" s="504"/>
      <c r="T236" s="504"/>
      <c r="U236" s="504"/>
      <c r="V236" s="504"/>
      <c r="W236" s="505"/>
      <c r="X236" s="153"/>
      <c r="Y236" s="194"/>
    </row>
    <row r="237" spans="1:25" ht="21.95" customHeight="1" x14ac:dyDescent="0.2">
      <c r="A237" s="294" t="s">
        <v>2354</v>
      </c>
      <c r="B237" s="282">
        <f ca="1">SUM(C236)</f>
        <v>0</v>
      </c>
      <c r="C237" s="281" t="s">
        <v>2462</v>
      </c>
      <c r="D237" s="281"/>
      <c r="E237" s="281"/>
      <c r="F237" s="281"/>
      <c r="G237" s="281"/>
      <c r="H237" s="215"/>
      <c r="I237" s="503"/>
      <c r="J237" s="504"/>
      <c r="K237" s="504"/>
      <c r="L237" s="504"/>
      <c r="M237" s="504"/>
      <c r="N237" s="504"/>
      <c r="O237" s="504"/>
      <c r="P237" s="504"/>
      <c r="Q237" s="504"/>
      <c r="R237" s="504"/>
      <c r="S237" s="504"/>
      <c r="T237" s="504"/>
      <c r="U237" s="504"/>
      <c r="V237" s="504"/>
      <c r="W237" s="505"/>
      <c r="X237" s="153"/>
      <c r="Y237" s="194"/>
    </row>
    <row r="238" spans="1:25" ht="21.95" customHeight="1" x14ac:dyDescent="0.2">
      <c r="A238" s="294" t="s">
        <v>2355</v>
      </c>
      <c r="B238" s="282" t="b">
        <f ca="1">(B237&gt;0)</f>
        <v>0</v>
      </c>
      <c r="C238" s="281"/>
      <c r="D238" s="281"/>
      <c r="E238" s="281"/>
      <c r="F238" s="281"/>
      <c r="G238" s="281"/>
      <c r="H238" s="215"/>
      <c r="I238" s="503"/>
      <c r="J238" s="504"/>
      <c r="K238" s="504"/>
      <c r="L238" s="504"/>
      <c r="M238" s="504"/>
      <c r="N238" s="504"/>
      <c r="O238" s="504"/>
      <c r="P238" s="504"/>
      <c r="Q238" s="504"/>
      <c r="R238" s="504"/>
      <c r="S238" s="504"/>
      <c r="T238" s="504"/>
      <c r="U238" s="504"/>
      <c r="V238" s="504"/>
      <c r="W238" s="505"/>
      <c r="X238" s="153"/>
      <c r="Y238" s="194"/>
    </row>
    <row r="239" spans="1:25" ht="21.95" customHeight="1" x14ac:dyDescent="0.2">
      <c r="A239" s="285" t="s">
        <v>306</v>
      </c>
      <c r="B239" s="305" t="s">
        <v>2869</v>
      </c>
      <c r="C239" s="287"/>
      <c r="D239" s="287"/>
      <c r="E239" s="287"/>
      <c r="F239" s="287"/>
      <c r="G239" s="172" t="str">
        <f>B261</f>
        <v>Development Partner(s)</v>
      </c>
      <c r="H239" s="215"/>
      <c r="I239" s="503"/>
      <c r="J239" s="504"/>
      <c r="K239" s="504"/>
      <c r="L239" s="504"/>
      <c r="M239" s="504"/>
      <c r="N239" s="504"/>
      <c r="O239" s="504"/>
      <c r="P239" s="504"/>
      <c r="Q239" s="504"/>
      <c r="R239" s="504"/>
      <c r="S239" s="504"/>
      <c r="T239" s="504"/>
      <c r="U239" s="504"/>
      <c r="V239" s="504"/>
      <c r="W239" s="505"/>
      <c r="X239" s="153"/>
      <c r="Y239" s="194"/>
    </row>
    <row r="240" spans="1:25" ht="21.95" customHeight="1" x14ac:dyDescent="0.2">
      <c r="A240" s="273" t="s">
        <v>3386</v>
      </c>
      <c r="B240" s="288" t="str">
        <f>IF(I370&lt;&gt;"",I370,"")</f>
        <v/>
      </c>
      <c r="C240" s="281">
        <f ca="1">VLOOKUP(A240,DB_TBL_DATA_FIELDS[[FIELD_ID]:[PCT_CALC_FIELD_STATUS_CODE]],22,FALSE)</f>
        <v>-1</v>
      </c>
      <c r="D240" s="281" t="str">
        <f>IF(VLOOKUP(A240,DB_TBL_DATA_FIELDS[[FIELD_ID]:[ERROR_MESSAGE]],23,FALSE)&lt;&gt;0,VLOOKUP(A240,DB_TBL_DATA_FIELDS[[FIELD_ID]:[ERROR_MESSAGE]],23,FALSE),"")</f>
        <v/>
      </c>
      <c r="E240" s="281">
        <f>VLOOKUP(A240,DB_TBL_DATA_FIELDS[[#All],[FIELD_ID]:[RANGE_VALIDATION_MAX]],18,FALSE)</f>
        <v>0</v>
      </c>
      <c r="F240" s="281">
        <f>VLOOKUP(A240,DB_TBL_DATA_FIELDS[[#All],[FIELD_ID]:[RANGE_VALIDATION_MAX]],19,FALSE)</f>
        <v>32767</v>
      </c>
      <c r="G240" s="281" t="str">
        <f t="shared" ref="G240:G253" ca="1" si="38">IF(C240&lt;0,"",C240)</f>
        <v/>
      </c>
      <c r="H240" s="215"/>
      <c r="I240" s="506"/>
      <c r="J240" s="507"/>
      <c r="K240" s="507"/>
      <c r="L240" s="507"/>
      <c r="M240" s="507"/>
      <c r="N240" s="507"/>
      <c r="O240" s="507"/>
      <c r="P240" s="507"/>
      <c r="Q240" s="507"/>
      <c r="R240" s="507"/>
      <c r="S240" s="507"/>
      <c r="T240" s="507"/>
      <c r="U240" s="507"/>
      <c r="V240" s="507"/>
      <c r="W240" s="508"/>
      <c r="X240" s="153"/>
      <c r="Y240" s="194"/>
    </row>
    <row r="241" spans="1:25" ht="21.95" customHeight="1" x14ac:dyDescent="0.2">
      <c r="A241" s="273" t="s">
        <v>3388</v>
      </c>
      <c r="B241" s="288" t="str">
        <f>IF(I372&lt;&gt;"",I372,"")</f>
        <v/>
      </c>
      <c r="C241" s="281">
        <f ca="1">VLOOKUP(A241,DB_TBL_DATA_FIELDS[[FIELD_ID]:[PCT_CALC_FIELD_STATUS_CODE]],22,FALSE)</f>
        <v>-1</v>
      </c>
      <c r="D241" s="281" t="str">
        <f>IF(VLOOKUP(A241,DB_TBL_DATA_FIELDS[[FIELD_ID]:[ERROR_MESSAGE]],23,FALSE)&lt;&gt;0,VLOOKUP(A241,DB_TBL_DATA_FIELDS[[FIELD_ID]:[ERROR_MESSAGE]],23,FALSE),"")</f>
        <v/>
      </c>
      <c r="E241" s="281">
        <f>VLOOKUP(A241,DB_TBL_DATA_FIELDS[[#All],[FIELD_ID]:[RANGE_VALIDATION_MAX]],18,FALSE)</f>
        <v>0</v>
      </c>
      <c r="F241" s="281">
        <f>VLOOKUP(A241,DB_TBL_DATA_FIELDS[[#All],[FIELD_ID]:[RANGE_VALIDATION_MAX]],19,FALSE)</f>
        <v>32767</v>
      </c>
      <c r="G241" s="281" t="str">
        <f t="shared" ca="1" si="38"/>
        <v/>
      </c>
      <c r="H241" s="215"/>
      <c r="I241" s="194"/>
      <c r="J241" s="153"/>
      <c r="K241" s="194"/>
      <c r="L241" s="153"/>
      <c r="M241" s="194"/>
      <c r="N241" s="153"/>
      <c r="O241" s="194"/>
      <c r="P241" s="153"/>
      <c r="Q241" s="194"/>
      <c r="R241" s="153"/>
      <c r="S241" s="194"/>
      <c r="T241" s="153"/>
      <c r="U241" s="194"/>
      <c r="V241" s="153"/>
      <c r="W241" s="194"/>
      <c r="X241" s="153"/>
      <c r="Y241" s="194"/>
    </row>
    <row r="242" spans="1:25" ht="21.95" customHeight="1" thickBot="1" x14ac:dyDescent="0.25">
      <c r="A242" s="273" t="s">
        <v>2758</v>
      </c>
      <c r="B242" s="288" t="str">
        <f>IF(I374&lt;&gt;"",I374,"")</f>
        <v/>
      </c>
      <c r="C242" s="281">
        <f ca="1">VLOOKUP(A242,DB_TBL_DATA_FIELDS[[FIELD_ID]:[PCT_CALC_FIELD_STATUS_CODE]],22,FALSE)</f>
        <v>-1</v>
      </c>
      <c r="D242" s="281" t="str">
        <f>IF(VLOOKUP(A242,DB_TBL_DATA_FIELDS[[FIELD_ID]:[ERROR_MESSAGE]],23,FALSE)&lt;&gt;0,VLOOKUP(A242,DB_TBL_DATA_FIELDS[[FIELD_ID]:[ERROR_MESSAGE]],23,FALSE),"")</f>
        <v/>
      </c>
      <c r="E242" s="281">
        <f>VLOOKUP(A242,DB_TBL_DATA_FIELDS[[#All],[FIELD_ID]:[RANGE_VALIDATION_MAX]],18,FALSE)</f>
        <v>0</v>
      </c>
      <c r="F242" s="281">
        <f>VLOOKUP(A242,DB_TBL_DATA_FIELDS[[#All],[FIELD_ID]:[RANGE_VALIDATION_MAX]],19,FALSE)</f>
        <v>1500</v>
      </c>
      <c r="G242" s="281" t="str">
        <f t="shared" ca="1" si="38"/>
        <v/>
      </c>
      <c r="H242" s="215"/>
      <c r="I242" s="424" t="str">
        <f>B174</f>
        <v>Timing and Use of Funds</v>
      </c>
      <c r="J242" s="269"/>
      <c r="K242" s="269"/>
      <c r="L242" s="269"/>
      <c r="M242" s="269"/>
      <c r="N242" s="269"/>
      <c r="O242" s="269"/>
      <c r="P242" s="269"/>
      <c r="Q242" s="269"/>
      <c r="R242" s="269"/>
      <c r="S242" s="269"/>
      <c r="T242" s="269"/>
      <c r="U242" s="269"/>
      <c r="V242" s="269"/>
      <c r="W242" s="269"/>
      <c r="X242" s="167" t="str">
        <f ca="1">"Status: "&amp;$B$189</f>
        <v>Status: Not Started</v>
      </c>
      <c r="Y242" s="194"/>
    </row>
    <row r="243" spans="1:25" ht="21.95" customHeight="1" x14ac:dyDescent="0.2">
      <c r="A243" s="273" t="s">
        <v>2759</v>
      </c>
      <c r="B243" s="288" t="str">
        <f>IF(I381&lt;&gt;"",I381,"")</f>
        <v/>
      </c>
      <c r="C243" s="281">
        <f ca="1">VLOOKUP(A243,DB_TBL_DATA_FIELDS[[FIELD_ID]:[PCT_CALC_FIELD_STATUS_CODE]],22,FALSE)</f>
        <v>-1</v>
      </c>
      <c r="D243" s="281" t="str">
        <f>IF(VLOOKUP(A243,DB_TBL_DATA_FIELDS[[FIELD_ID]:[ERROR_MESSAGE]],23,FALSE)&lt;&gt;0,VLOOKUP(A243,DB_TBL_DATA_FIELDS[[FIELD_ID]:[ERROR_MESSAGE]],23,FALSE),"")</f>
        <v/>
      </c>
      <c r="E243" s="281">
        <f>VLOOKUP(A243,DB_TBL_DATA_FIELDS[[#All],[FIELD_ID]:[RANGE_VALIDATION_MAX]],18,FALSE)</f>
        <v>0</v>
      </c>
      <c r="F243" s="281">
        <f>VLOOKUP(A243,DB_TBL_DATA_FIELDS[[#All],[FIELD_ID]:[RANGE_VALIDATION_MAX]],19,FALSE)</f>
        <v>2000</v>
      </c>
      <c r="G243" s="281" t="str">
        <f t="shared" ca="1" si="38"/>
        <v/>
      </c>
      <c r="H243" s="215"/>
      <c r="I243" s="194"/>
      <c r="J243" s="153"/>
      <c r="K243" s="194"/>
      <c r="L243" s="153"/>
      <c r="M243" s="194"/>
      <c r="N243" s="153"/>
      <c r="O243" s="194"/>
      <c r="P243" s="153"/>
      <c r="Q243" s="194"/>
      <c r="R243" s="153"/>
      <c r="S243" s="194"/>
      <c r="T243" s="153"/>
      <c r="U243" s="194"/>
      <c r="V243" s="153"/>
      <c r="W243" s="194"/>
      <c r="X243" s="153"/>
      <c r="Y243" s="194"/>
    </row>
    <row r="244" spans="1:25" ht="21.95" customHeight="1" x14ac:dyDescent="0.2">
      <c r="A244" s="273" t="s">
        <v>2760</v>
      </c>
      <c r="B244" s="288" t="str">
        <f>IF(COUNTIF(I392:W401,"&lt;&gt;")&gt;0," ","")</f>
        <v/>
      </c>
      <c r="C244" s="281">
        <f ca="1">VLOOKUP(A244,DB_TBL_DATA_FIELDS[[FIELD_ID]:[PCT_CALC_FIELD_STATUS_CODE]],22,FALSE)</f>
        <v>-1</v>
      </c>
      <c r="D244" s="281" t="str">
        <f>IF(VLOOKUP(A244,DB_TBL_DATA_FIELDS[[FIELD_ID]:[ERROR_MESSAGE]],23,FALSE)&lt;&gt;0,VLOOKUP(A244,DB_TBL_DATA_FIELDS[[FIELD_ID]:[ERROR_MESSAGE]],23,FALSE),"")</f>
        <v/>
      </c>
      <c r="E244" s="281">
        <f>VLOOKUP(A244,DB_TBL_DATA_FIELDS[[#All],[FIELD_ID]:[RANGE_VALIDATION_MAX]],18,FALSE)</f>
        <v>0</v>
      </c>
      <c r="F244" s="281">
        <f>VLOOKUP(A244,DB_TBL_DATA_FIELDS[[#All],[FIELD_ID]:[RANGE_VALIDATION_MAX]],19,FALSE)</f>
        <v>2000</v>
      </c>
      <c r="G244" s="281" t="str">
        <f t="shared" ref="G244:G245" ca="1" si="39">IF(C244&lt;0,"",C244)</f>
        <v/>
      </c>
      <c r="H244" s="215"/>
      <c r="I244" s="194"/>
      <c r="J244" s="153"/>
      <c r="K244" s="194"/>
      <c r="L244" s="153"/>
      <c r="M244" s="194"/>
      <c r="N244" s="153"/>
      <c r="O244" s="194"/>
      <c r="P244" s="153"/>
      <c r="Q244" s="194"/>
      <c r="R244" s="153"/>
      <c r="S244" s="194"/>
      <c r="T244" s="153"/>
      <c r="U244" s="194"/>
      <c r="V244" s="153"/>
      <c r="W244" s="194"/>
      <c r="X244" s="153"/>
      <c r="Y244" s="194"/>
    </row>
    <row r="245" spans="1:25" ht="21.95" customHeight="1" x14ac:dyDescent="0.2">
      <c r="A245" s="273" t="s">
        <v>2761</v>
      </c>
      <c r="B245" s="288" t="str">
        <f>IF(COUNTIF(I404:W413,"&lt;&gt;")&gt;0," ","")</f>
        <v/>
      </c>
      <c r="C245" s="281">
        <f ca="1">VLOOKUP(A245,DB_TBL_DATA_FIELDS[[FIELD_ID]:[PCT_CALC_FIELD_STATUS_CODE]],22,FALSE)</f>
        <v>-1</v>
      </c>
      <c r="D245" s="281" t="str">
        <f>IF(VLOOKUP(A245,DB_TBL_DATA_FIELDS[[FIELD_ID]:[ERROR_MESSAGE]],23,FALSE)&lt;&gt;0,VLOOKUP(A245,DB_TBL_DATA_FIELDS[[FIELD_ID]:[ERROR_MESSAGE]],23,FALSE),"")</f>
        <v/>
      </c>
      <c r="E245" s="281">
        <f>VLOOKUP(A245,DB_TBL_DATA_FIELDS[[#All],[FIELD_ID]:[RANGE_VALIDATION_MAX]],18,FALSE)</f>
        <v>0</v>
      </c>
      <c r="F245" s="281">
        <f>VLOOKUP(A245,DB_TBL_DATA_FIELDS[[#All],[FIELD_ID]:[RANGE_VALIDATION_MAX]],19,FALSE)</f>
        <v>1500</v>
      </c>
      <c r="G245" s="281" t="str">
        <f t="shared" ca="1" si="39"/>
        <v/>
      </c>
      <c r="H245" s="215"/>
      <c r="I245" s="226" t="s">
        <v>3436</v>
      </c>
      <c r="J245" s="153"/>
      <c r="K245" s="215"/>
      <c r="L245" s="153"/>
      <c r="M245" s="215"/>
      <c r="N245" s="153"/>
      <c r="O245" s="215"/>
      <c r="P245" s="153"/>
      <c r="Q245" s="215"/>
      <c r="R245" s="153"/>
      <c r="S245" s="215"/>
      <c r="T245" s="153"/>
      <c r="U245" s="615"/>
      <c r="V245" s="616"/>
      <c r="W245" s="617"/>
      <c r="X245" s="165">
        <f ca="1">G175</f>
        <v>1</v>
      </c>
      <c r="Y245" s="194"/>
    </row>
    <row r="246" spans="1:25" ht="21.95" customHeight="1" x14ac:dyDescent="0.2">
      <c r="A246" s="273" t="s">
        <v>2762</v>
      </c>
      <c r="B246" s="288" t="str">
        <f>IF(I416&lt;&gt;"",I416,"")</f>
        <v/>
      </c>
      <c r="C246" s="281">
        <f ca="1">VLOOKUP(A246,DB_TBL_DATA_FIELDS[[FIELD_ID]:[PCT_CALC_FIELD_STATUS_CODE]],22,FALSE)</f>
        <v>-1</v>
      </c>
      <c r="D246" s="281" t="str">
        <f>IF(VLOOKUP(A246,DB_TBL_DATA_FIELDS[[FIELD_ID]:[ERROR_MESSAGE]],23,FALSE)&lt;&gt;0,VLOOKUP(A246,DB_TBL_DATA_FIELDS[[FIELD_ID]:[ERROR_MESSAGE]],23,FALSE),"")</f>
        <v/>
      </c>
      <c r="E246" s="281">
        <f>VLOOKUP(A246,DB_TBL_DATA_FIELDS[[#All],[FIELD_ID]:[RANGE_VALIDATION_MAX]],18,FALSE)</f>
        <v>0</v>
      </c>
      <c r="F246" s="281">
        <f>VLOOKUP(A246,DB_TBL_DATA_FIELDS[[#All],[FIELD_ID]:[RANGE_VALIDATION_MAX]],19,FALSE)</f>
        <v>1500</v>
      </c>
      <c r="G246" s="281" t="str">
        <f t="shared" ca="1" si="38"/>
        <v/>
      </c>
      <c r="H246" s="215"/>
      <c r="I246" s="226" t="s">
        <v>2653</v>
      </c>
      <c r="J246" s="153"/>
      <c r="K246" s="215"/>
      <c r="L246" s="153"/>
      <c r="M246" s="215"/>
      <c r="N246" s="153"/>
      <c r="O246" s="215"/>
      <c r="P246" s="153"/>
      <c r="Q246" s="215"/>
      <c r="R246" s="153"/>
      <c r="S246" s="215"/>
      <c r="T246" s="153"/>
      <c r="U246" s="615"/>
      <c r="V246" s="616"/>
      <c r="W246" s="617"/>
      <c r="X246" s="165">
        <f ca="1">G176</f>
        <v>1</v>
      </c>
      <c r="Y246" s="194"/>
    </row>
    <row r="247" spans="1:25" ht="21.95" customHeight="1" x14ac:dyDescent="0.2">
      <c r="A247" s="273" t="s">
        <v>3387</v>
      </c>
      <c r="B247" s="288" t="str">
        <f>IF(I425&lt;&gt;"",I425,"")</f>
        <v/>
      </c>
      <c r="C247" s="281">
        <f ca="1">VLOOKUP(A247,DB_TBL_DATA_FIELDS[[FIELD_ID]:[PCT_CALC_FIELD_STATUS_CODE]],22,FALSE)</f>
        <v>-1</v>
      </c>
      <c r="D247" s="281" t="str">
        <f>IF(VLOOKUP(A247,DB_TBL_DATA_FIELDS[[FIELD_ID]:[ERROR_MESSAGE]],23,FALSE)&lt;&gt;0,VLOOKUP(A247,DB_TBL_DATA_FIELDS[[FIELD_ID]:[ERROR_MESSAGE]],23,FALSE),"")</f>
        <v/>
      </c>
      <c r="E247" s="281">
        <f>VLOOKUP(A247,DB_TBL_DATA_FIELDS[[#All],[FIELD_ID]:[RANGE_VALIDATION_MAX]],18,FALSE)</f>
        <v>0</v>
      </c>
      <c r="F247" s="281">
        <f>VLOOKUP(A247,DB_TBL_DATA_FIELDS[[#All],[FIELD_ID]:[RANGE_VALIDATION_MAX]],19,FALSE)</f>
        <v>32767</v>
      </c>
      <c r="G247" s="281" t="str">
        <f t="shared" ca="1" si="38"/>
        <v/>
      </c>
      <c r="H247" s="215"/>
      <c r="I247" s="226" t="s">
        <v>2654</v>
      </c>
      <c r="J247" s="153"/>
      <c r="K247" s="194"/>
      <c r="L247" s="153"/>
      <c r="M247" s="194"/>
      <c r="N247" s="153"/>
      <c r="O247" s="194"/>
      <c r="P247" s="153"/>
      <c r="Q247" s="194"/>
      <c r="R247" s="153"/>
      <c r="S247" s="194"/>
      <c r="T247" s="153"/>
      <c r="U247" s="194"/>
      <c r="V247" s="153"/>
      <c r="W247" s="333"/>
      <c r="X247" s="165">
        <f ca="1">G177</f>
        <v>1</v>
      </c>
      <c r="Y247" s="194"/>
    </row>
    <row r="248" spans="1:25" ht="21.95" customHeight="1" x14ac:dyDescent="0.2">
      <c r="A248" s="273" t="s">
        <v>3389</v>
      </c>
      <c r="B248" s="288" t="str">
        <f>IF(I427&lt;&gt;"",I427,"")</f>
        <v/>
      </c>
      <c r="C248" s="281">
        <f ca="1">VLOOKUP(A248,DB_TBL_DATA_FIELDS[[FIELD_ID]:[PCT_CALC_FIELD_STATUS_CODE]],22,FALSE)</f>
        <v>-1</v>
      </c>
      <c r="D248" s="281" t="str">
        <f>IF(VLOOKUP(A248,DB_TBL_DATA_FIELDS[[FIELD_ID]:[ERROR_MESSAGE]],23,FALSE)&lt;&gt;0,VLOOKUP(A248,DB_TBL_DATA_FIELDS[[FIELD_ID]:[ERROR_MESSAGE]],23,FALSE),"")</f>
        <v/>
      </c>
      <c r="E248" s="281">
        <f>VLOOKUP(A248,DB_TBL_DATA_FIELDS[[#All],[FIELD_ID]:[RANGE_VALIDATION_MAX]],18,FALSE)</f>
        <v>0</v>
      </c>
      <c r="F248" s="281">
        <f>VLOOKUP(A248,DB_TBL_DATA_FIELDS[[#All],[FIELD_ID]:[RANGE_VALIDATION_MAX]],19,FALSE)</f>
        <v>32767</v>
      </c>
      <c r="G248" s="281" t="str">
        <f t="shared" ca="1" si="38"/>
        <v/>
      </c>
      <c r="H248" s="215"/>
      <c r="I248" s="606" t="s">
        <v>2658</v>
      </c>
      <c r="J248" s="607"/>
      <c r="K248" s="607"/>
      <c r="L248" s="607"/>
      <c r="M248" s="607"/>
      <c r="N248" s="607"/>
      <c r="O248" s="607"/>
      <c r="P248" s="607"/>
      <c r="Q248" s="607"/>
      <c r="R248" s="607"/>
      <c r="S248" s="607"/>
      <c r="T248" s="607"/>
      <c r="U248" s="607"/>
      <c r="V248" s="607"/>
      <c r="W248" s="607"/>
      <c r="X248" s="165"/>
      <c r="Y248" s="194"/>
    </row>
    <row r="249" spans="1:25" ht="21.95" customHeight="1" x14ac:dyDescent="0.2">
      <c r="A249" s="273" t="s">
        <v>2763</v>
      </c>
      <c r="B249" s="288" t="str">
        <f>IF(I429&lt;&gt;"",I429,"")</f>
        <v/>
      </c>
      <c r="C249" s="281">
        <f ca="1">VLOOKUP(A249,DB_TBL_DATA_FIELDS[[FIELD_ID]:[PCT_CALC_FIELD_STATUS_CODE]],22,FALSE)</f>
        <v>-1</v>
      </c>
      <c r="D249" s="281" t="str">
        <f>IF(VLOOKUP(A249,DB_TBL_DATA_FIELDS[[FIELD_ID]:[ERROR_MESSAGE]],23,FALSE)&lt;&gt;0,VLOOKUP(A249,DB_TBL_DATA_FIELDS[[FIELD_ID]:[ERROR_MESSAGE]],23,FALSE),"")</f>
        <v/>
      </c>
      <c r="E249" s="281">
        <f>VLOOKUP(A249,DB_TBL_DATA_FIELDS[[#All],[FIELD_ID]:[RANGE_VALIDATION_MAX]],18,FALSE)</f>
        <v>0</v>
      </c>
      <c r="F249" s="281">
        <f>VLOOKUP(A249,DB_TBL_DATA_FIELDS[[#All],[FIELD_ID]:[RANGE_VALIDATION_MAX]],19,FALSE)</f>
        <v>1500</v>
      </c>
      <c r="G249" s="281" t="str">
        <f t="shared" ca="1" si="38"/>
        <v/>
      </c>
      <c r="H249" s="215"/>
      <c r="I249" s="375"/>
      <c r="J249" s="376"/>
      <c r="K249" s="376"/>
      <c r="L249" s="376"/>
      <c r="M249" s="376"/>
      <c r="N249" s="376"/>
      <c r="O249" s="376"/>
      <c r="P249" s="376"/>
      <c r="Q249" s="376"/>
      <c r="R249" s="376"/>
      <c r="S249" s="376"/>
      <c r="T249" s="376"/>
      <c r="U249" s="376"/>
      <c r="V249" s="376"/>
      <c r="W249" s="376"/>
      <c r="X249" s="165"/>
      <c r="Y249" s="194"/>
    </row>
    <row r="250" spans="1:25" ht="21.95" customHeight="1" x14ac:dyDescent="0.2">
      <c r="A250" s="273" t="s">
        <v>2764</v>
      </c>
      <c r="B250" s="288" t="str">
        <f>IF(I436&lt;&gt;"",I436,"")</f>
        <v/>
      </c>
      <c r="C250" s="281">
        <f ca="1">VLOOKUP(A250,DB_TBL_DATA_FIELDS[[FIELD_ID]:[PCT_CALC_FIELD_STATUS_CODE]],22,FALSE)</f>
        <v>-1</v>
      </c>
      <c r="D250" s="281" t="str">
        <f>IF(VLOOKUP(A250,DB_TBL_DATA_FIELDS[[FIELD_ID]:[ERROR_MESSAGE]],23,FALSE)&lt;&gt;0,VLOOKUP(A250,DB_TBL_DATA_FIELDS[[FIELD_ID]:[ERROR_MESSAGE]],23,FALSE),"")</f>
        <v/>
      </c>
      <c r="E250" s="281">
        <f>VLOOKUP(A250,DB_TBL_DATA_FIELDS[[#All],[FIELD_ID]:[RANGE_VALIDATION_MAX]],18,FALSE)</f>
        <v>0</v>
      </c>
      <c r="F250" s="281">
        <f>VLOOKUP(A250,DB_TBL_DATA_FIELDS[[#All],[FIELD_ID]:[RANGE_VALIDATION_MAX]],19,FALSE)</f>
        <v>2000</v>
      </c>
      <c r="G250" s="281" t="str">
        <f t="shared" ca="1" si="38"/>
        <v/>
      </c>
      <c r="H250" s="215"/>
      <c r="I250" s="226" t="s">
        <v>3618</v>
      </c>
      <c r="J250" s="153"/>
      <c r="K250" s="215"/>
      <c r="L250" s="153"/>
      <c r="M250" s="215"/>
      <c r="N250" s="153"/>
      <c r="O250" s="215"/>
      <c r="P250" s="153"/>
      <c r="Q250" s="215"/>
      <c r="R250" s="153"/>
      <c r="S250" s="215"/>
      <c r="T250" s="153"/>
      <c r="U250" s="724"/>
      <c r="V250" s="725"/>
      <c r="W250" s="726"/>
      <c r="X250" s="165">
        <f ca="1">G178</f>
        <v>1</v>
      </c>
      <c r="Y250" s="194"/>
    </row>
    <row r="251" spans="1:25" ht="21.95" customHeight="1" x14ac:dyDescent="0.2">
      <c r="A251" s="273" t="s">
        <v>2765</v>
      </c>
      <c r="B251" s="288" t="str">
        <f>IF(COUNTIF(I447:W456,"&lt;&gt;")&gt;0," ","")</f>
        <v/>
      </c>
      <c r="C251" s="281">
        <f ca="1">VLOOKUP(A251,DB_TBL_DATA_FIELDS[[FIELD_ID]:[PCT_CALC_FIELD_STATUS_CODE]],22,FALSE)</f>
        <v>-1</v>
      </c>
      <c r="D251" s="281" t="str">
        <f>IF(VLOOKUP(A251,DB_TBL_DATA_FIELDS[[FIELD_ID]:[ERROR_MESSAGE]],23,FALSE)&lt;&gt;0,VLOOKUP(A251,DB_TBL_DATA_FIELDS[[FIELD_ID]:[ERROR_MESSAGE]],23,FALSE),"")</f>
        <v/>
      </c>
      <c r="E251" s="281">
        <f>VLOOKUP(A251,DB_TBL_DATA_FIELDS[[#All],[FIELD_ID]:[RANGE_VALIDATION_MAX]],18,FALSE)</f>
        <v>0</v>
      </c>
      <c r="F251" s="281">
        <f>VLOOKUP(A251,DB_TBL_DATA_FIELDS[[#All],[FIELD_ID]:[RANGE_VALIDATION_MAX]],19,FALSE)</f>
        <v>2000</v>
      </c>
      <c r="G251" s="281" t="str">
        <f t="shared" ref="G251:G252" ca="1" si="40">IF(C251&lt;0,"",C251)</f>
        <v/>
      </c>
      <c r="H251" s="215"/>
      <c r="I251" s="226" t="s">
        <v>3619</v>
      </c>
      <c r="J251" s="153"/>
      <c r="K251" s="215"/>
      <c r="L251" s="153"/>
      <c r="M251" s="215"/>
      <c r="N251" s="153"/>
      <c r="O251" s="215"/>
      <c r="P251" s="153"/>
      <c r="Q251" s="215"/>
      <c r="R251" s="153"/>
      <c r="S251" s="215"/>
      <c r="T251" s="153"/>
      <c r="U251" s="724"/>
      <c r="V251" s="725"/>
      <c r="W251" s="726"/>
      <c r="X251" s="165">
        <f ca="1">G179</f>
        <v>1</v>
      </c>
      <c r="Y251" s="194"/>
    </row>
    <row r="252" spans="1:25" ht="21.95" customHeight="1" x14ac:dyDescent="0.2">
      <c r="A252" s="273" t="s">
        <v>2766</v>
      </c>
      <c r="B252" s="288" t="str">
        <f>IF(COUNTIF(I459:W468,"&lt;&gt;")&gt;0," ","")</f>
        <v/>
      </c>
      <c r="C252" s="281">
        <f ca="1">VLOOKUP(A252,DB_TBL_DATA_FIELDS[[FIELD_ID]:[PCT_CALC_FIELD_STATUS_CODE]],22,FALSE)</f>
        <v>-1</v>
      </c>
      <c r="D252" s="281" t="str">
        <f>IF(VLOOKUP(A252,DB_TBL_DATA_FIELDS[[FIELD_ID]:[ERROR_MESSAGE]],23,FALSE)&lt;&gt;0,VLOOKUP(A252,DB_TBL_DATA_FIELDS[[FIELD_ID]:[ERROR_MESSAGE]],23,FALSE),"")</f>
        <v/>
      </c>
      <c r="E252" s="281">
        <f>VLOOKUP(A252,DB_TBL_DATA_FIELDS[[#All],[FIELD_ID]:[RANGE_VALIDATION_MAX]],18,FALSE)</f>
        <v>0</v>
      </c>
      <c r="F252" s="281">
        <f>VLOOKUP(A252,DB_TBL_DATA_FIELDS[[#All],[FIELD_ID]:[RANGE_VALIDATION_MAX]],19,FALSE)</f>
        <v>1500</v>
      </c>
      <c r="G252" s="281" t="str">
        <f t="shared" ca="1" si="40"/>
        <v/>
      </c>
      <c r="H252" s="215"/>
      <c r="I252" s="215"/>
      <c r="J252" s="153"/>
      <c r="K252" s="194"/>
      <c r="L252" s="153"/>
      <c r="M252" s="194"/>
      <c r="N252" s="153"/>
      <c r="O252" s="194"/>
      <c r="P252" s="153"/>
      <c r="Q252" s="727" t="str">
        <f ca="1">D179</f>
        <v/>
      </c>
      <c r="R252" s="542"/>
      <c r="S252" s="542"/>
      <c r="T252" s="542"/>
      <c r="U252" s="542"/>
      <c r="V252" s="542"/>
      <c r="W252" s="542"/>
      <c r="X252" s="153"/>
      <c r="Y252" s="194"/>
    </row>
    <row r="253" spans="1:25" ht="21.95" customHeight="1" x14ac:dyDescent="0.2">
      <c r="A253" s="273" t="s">
        <v>2767</v>
      </c>
      <c r="B253" s="288" t="str">
        <f>IF(I471&lt;&gt;"",I471,"")</f>
        <v/>
      </c>
      <c r="C253" s="281">
        <f ca="1">VLOOKUP(A253,DB_TBL_DATA_FIELDS[[FIELD_ID]:[PCT_CALC_FIELD_STATUS_CODE]],22,FALSE)</f>
        <v>-1</v>
      </c>
      <c r="D253" s="281" t="str">
        <f>IF(VLOOKUP(A253,DB_TBL_DATA_FIELDS[[FIELD_ID]:[ERROR_MESSAGE]],23,FALSE)&lt;&gt;0,VLOOKUP(A253,DB_TBL_DATA_FIELDS[[FIELD_ID]:[ERROR_MESSAGE]],23,FALSE),"")</f>
        <v/>
      </c>
      <c r="E253" s="281">
        <f>VLOOKUP(A253,DB_TBL_DATA_FIELDS[[#All],[FIELD_ID]:[RANGE_VALIDATION_MAX]],18,FALSE)</f>
        <v>0</v>
      </c>
      <c r="F253" s="281">
        <f>VLOOKUP(A253,DB_TBL_DATA_FIELDS[[#All],[FIELD_ID]:[RANGE_VALIDATION_MAX]],19,FALSE)</f>
        <v>1500</v>
      </c>
      <c r="G253" s="281" t="str">
        <f t="shared" ca="1" si="38"/>
        <v/>
      </c>
      <c r="H253" s="215"/>
      <c r="I253" s="207" t="s">
        <v>3437</v>
      </c>
      <c r="J253" s="153"/>
      <c r="K253" s="194"/>
      <c r="L253" s="153"/>
      <c r="M253" s="194"/>
      <c r="N253" s="153"/>
      <c r="O253" s="194"/>
      <c r="P253" s="153"/>
      <c r="Q253" s="194"/>
      <c r="R253" s="153"/>
      <c r="S253" s="194"/>
      <c r="T253" s="153"/>
      <c r="U253" s="194"/>
      <c r="V253" s="153"/>
      <c r="W253" s="194"/>
      <c r="X253" s="153"/>
      <c r="Y253" s="194"/>
    </row>
    <row r="254" spans="1:25" ht="21.95" customHeight="1" x14ac:dyDescent="0.2">
      <c r="A254" s="290" t="s">
        <v>307</v>
      </c>
      <c r="B254" s="282" t="str">
        <f>"C"&amp;MATCH(LEFT(A254,LEN(A254)-LEN("_RANGE")),A:A,0)+1&amp;":C"&amp;(ROW()-1)</f>
        <v>C240:C253</v>
      </c>
      <c r="C254" s="281"/>
      <c r="D254" s="281"/>
      <c r="E254" s="281"/>
      <c r="F254" s="281"/>
      <c r="G254" s="281"/>
      <c r="H254" s="215"/>
      <c r="I254" s="226" t="s">
        <v>2655</v>
      </c>
      <c r="J254" s="153"/>
      <c r="K254" s="194"/>
      <c r="L254" s="153"/>
      <c r="M254" s="194"/>
      <c r="N254" s="153"/>
      <c r="O254" s="194"/>
      <c r="P254" s="153"/>
      <c r="Q254" s="194"/>
      <c r="R254" s="153"/>
      <c r="S254" s="194"/>
      <c r="T254" s="153"/>
      <c r="U254" s="194"/>
      <c r="V254" s="153"/>
      <c r="W254" s="333"/>
      <c r="X254" s="165">
        <f ca="1">G180</f>
        <v>1</v>
      </c>
      <c r="Y254" s="194"/>
    </row>
    <row r="255" spans="1:25" ht="21.95" customHeight="1" x14ac:dyDescent="0.2">
      <c r="A255" s="290" t="s">
        <v>308</v>
      </c>
      <c r="B255" s="282">
        <f ca="1">COUNTIF(INDIRECT($B254),2)</f>
        <v>0</v>
      </c>
      <c r="C255" s="281"/>
      <c r="D255" s="281"/>
      <c r="E255" s="281"/>
      <c r="F255" s="281"/>
      <c r="G255" s="281"/>
      <c r="H255" s="215"/>
      <c r="I255" s="226" t="s">
        <v>2656</v>
      </c>
      <c r="J255" s="153"/>
      <c r="K255" s="194"/>
      <c r="L255" s="153"/>
      <c r="M255" s="194"/>
      <c r="N255" s="153"/>
      <c r="O255" s="194"/>
      <c r="P255" s="153"/>
      <c r="Q255" s="194"/>
      <c r="R255" s="153"/>
      <c r="S255" s="194"/>
      <c r="T255" s="153"/>
      <c r="U255" s="194"/>
      <c r="V255" s="153"/>
      <c r="W255" s="333"/>
      <c r="X255" s="165">
        <f ca="1">G181</f>
        <v>1</v>
      </c>
      <c r="Y255" s="194"/>
    </row>
    <row r="256" spans="1:25" ht="21.95" customHeight="1" x14ac:dyDescent="0.2">
      <c r="A256" s="290" t="s">
        <v>309</v>
      </c>
      <c r="B256" s="282">
        <f ca="1">COUNTIF(INDIRECT($B254),0)+COUNTIF(INDIRECT($B254),1)+COUNTIF(INDIRECT($B254),2)</f>
        <v>0</v>
      </c>
      <c r="C256" s="281"/>
      <c r="D256" s="281"/>
      <c r="E256" s="281"/>
      <c r="F256" s="281"/>
      <c r="G256" s="281"/>
      <c r="H256" s="215"/>
      <c r="I256" s="226" t="s">
        <v>2657</v>
      </c>
      <c r="J256" s="153"/>
      <c r="K256" s="194"/>
      <c r="L256" s="153"/>
      <c r="M256" s="194"/>
      <c r="N256" s="153"/>
      <c r="O256" s="194"/>
      <c r="P256" s="153"/>
      <c r="Q256" s="194"/>
      <c r="R256" s="153"/>
      <c r="S256" s="194"/>
      <c r="T256" s="153"/>
      <c r="U256" s="194"/>
      <c r="V256" s="153"/>
      <c r="W256" s="333"/>
      <c r="X256" s="165">
        <f ca="1">G182</f>
        <v>1</v>
      </c>
      <c r="Y256" s="194"/>
    </row>
    <row r="257" spans="1:25" ht="21.95" customHeight="1" x14ac:dyDescent="0.2">
      <c r="A257" s="290" t="s">
        <v>310</v>
      </c>
      <c r="B257" s="282">
        <f ca="1">COUNTIF(INDIRECT($B254),0)</f>
        <v>0</v>
      </c>
      <c r="C257" s="281" t="s">
        <v>2607</v>
      </c>
      <c r="D257" s="281"/>
      <c r="E257" s="281"/>
      <c r="F257" s="281"/>
      <c r="G257" s="281"/>
      <c r="H257" s="215"/>
      <c r="I257" s="194"/>
      <c r="J257" s="153"/>
      <c r="K257" s="194"/>
      <c r="L257" s="153"/>
      <c r="M257" s="194"/>
      <c r="N257" s="153"/>
      <c r="O257" s="194"/>
      <c r="P257" s="153"/>
      <c r="Q257" s="194"/>
      <c r="R257" s="153"/>
      <c r="S257" s="194"/>
      <c r="T257" s="153"/>
      <c r="U257" s="194"/>
      <c r="V257" s="153"/>
      <c r="W257" s="194"/>
      <c r="X257" s="153"/>
      <c r="Y257" s="194"/>
    </row>
    <row r="258" spans="1:25" ht="21.95" customHeight="1" thickBot="1" x14ac:dyDescent="0.25">
      <c r="A258" s="290" t="s">
        <v>311</v>
      </c>
      <c r="B258" s="291">
        <f ca="1">IFERROR(B255/B256,1.01)</f>
        <v>1.01</v>
      </c>
      <c r="C258" s="281"/>
      <c r="D258" s="281"/>
      <c r="E258" s="281"/>
      <c r="F258" s="281"/>
      <c r="G258" s="281"/>
      <c r="H258" s="215"/>
      <c r="I258" s="424" t="str">
        <f>B194</f>
        <v>Member Involvement</v>
      </c>
      <c r="J258" s="269"/>
      <c r="K258" s="269"/>
      <c r="L258" s="269"/>
      <c r="M258" s="269"/>
      <c r="N258" s="269"/>
      <c r="O258" s="269"/>
      <c r="P258" s="269"/>
      <c r="Q258" s="269"/>
      <c r="R258" s="269"/>
      <c r="S258" s="269"/>
      <c r="T258" s="269"/>
      <c r="U258" s="269"/>
      <c r="V258" s="269"/>
      <c r="W258" s="269"/>
      <c r="X258" s="167" t="str">
        <f ca="1">"Status: "&amp;$B$213</f>
        <v>Status: Not Started</v>
      </c>
      <c r="Y258" s="194"/>
    </row>
    <row r="259" spans="1:25" ht="21.95" customHeight="1" x14ac:dyDescent="0.2">
      <c r="A259" s="290" t="s">
        <v>312</v>
      </c>
      <c r="B259" s="292" t="str">
        <f ca="1">IF(B257&gt;0,"Data Error(s)",IF(B258=0,"Not Started",IF(B258&lt;1,ROUNDUP(B258*100,0)&amp;"% Done",IF(B258&gt;1,"Optional","Complete"))))</f>
        <v>Optional</v>
      </c>
      <c r="C259" s="281"/>
      <c r="D259" s="281"/>
      <c r="E259" s="281"/>
      <c r="F259" s="281"/>
      <c r="G259" s="281"/>
      <c r="H259" s="215"/>
      <c r="I259" s="194"/>
      <c r="J259" s="153"/>
      <c r="K259" s="194"/>
      <c r="L259" s="153"/>
      <c r="M259" s="194"/>
      <c r="N259" s="153"/>
      <c r="O259" s="194"/>
      <c r="P259" s="153"/>
      <c r="Q259" s="194"/>
      <c r="R259" s="153"/>
      <c r="S259" s="194"/>
      <c r="T259" s="153"/>
      <c r="U259" s="194"/>
      <c r="V259" s="153"/>
      <c r="W259" s="194"/>
      <c r="X259" s="153"/>
      <c r="Y259" s="194"/>
    </row>
    <row r="260" spans="1:25" ht="21.95" customHeight="1" x14ac:dyDescent="0.2">
      <c r="A260" s="290" t="s">
        <v>313</v>
      </c>
      <c r="B260" s="282">
        <f ca="1">IF(B257&gt;0,0,IF(B258&lt;1,"",2))</f>
        <v>2</v>
      </c>
      <c r="C260" s="281"/>
      <c r="D260" s="281"/>
      <c r="E260" s="281"/>
      <c r="F260" s="281"/>
      <c r="G260" s="281"/>
      <c r="H260" s="215"/>
      <c r="I260" s="194"/>
      <c r="J260" s="153"/>
      <c r="K260" s="194"/>
      <c r="L260" s="153"/>
      <c r="M260" s="194"/>
      <c r="N260" s="153"/>
      <c r="O260" s="194"/>
      <c r="P260" s="153"/>
      <c r="Q260" s="194"/>
      <c r="R260" s="153"/>
      <c r="S260" s="194"/>
      <c r="T260" s="153"/>
      <c r="U260" s="194"/>
      <c r="V260" s="153"/>
      <c r="W260" s="194"/>
      <c r="X260" s="153"/>
      <c r="Y260" s="194"/>
    </row>
    <row r="261" spans="1:25" ht="21.95" customHeight="1" x14ac:dyDescent="0.2">
      <c r="A261" s="290" t="s">
        <v>314</v>
      </c>
      <c r="B261" s="293" t="s">
        <v>2869</v>
      </c>
      <c r="C261" s="281"/>
      <c r="D261" s="281"/>
      <c r="E261" s="281"/>
      <c r="F261" s="281"/>
      <c r="G261" s="281"/>
      <c r="H261" s="215"/>
      <c r="I261" s="226" t="s">
        <v>2701</v>
      </c>
      <c r="J261" s="153"/>
      <c r="K261" s="194"/>
      <c r="L261" s="153"/>
      <c r="M261" s="194"/>
      <c r="N261" s="153"/>
      <c r="O261" s="194"/>
      <c r="P261" s="153"/>
      <c r="Q261" s="194"/>
      <c r="R261" s="153"/>
      <c r="S261" s="194"/>
      <c r="T261" s="153"/>
      <c r="U261" s="194"/>
      <c r="V261" s="153"/>
      <c r="W261" s="333"/>
      <c r="X261" s="165">
        <f ca="1">G195</f>
        <v>1</v>
      </c>
      <c r="Y261" s="194"/>
    </row>
    <row r="262" spans="1:25" ht="21.95" customHeight="1" x14ac:dyDescent="0.2">
      <c r="A262" s="294" t="s">
        <v>2352</v>
      </c>
      <c r="B262" s="282">
        <v>0</v>
      </c>
      <c r="C262" s="281" t="s">
        <v>2462</v>
      </c>
      <c r="D262" s="281"/>
      <c r="E262" s="281"/>
      <c r="F262" s="281"/>
      <c r="G262" s="281"/>
      <c r="H262" s="215"/>
      <c r="I262" s="226" t="s">
        <v>2702</v>
      </c>
      <c r="J262" s="153"/>
      <c r="K262" s="194"/>
      <c r="L262" s="153"/>
      <c r="M262" s="194"/>
      <c r="N262" s="153"/>
      <c r="O262" s="194"/>
      <c r="P262" s="153"/>
      <c r="Q262" s="194"/>
      <c r="R262" s="153"/>
      <c r="S262" s="194"/>
      <c r="T262" s="153"/>
      <c r="U262" s="194"/>
      <c r="V262" s="153"/>
      <c r="W262" s="333"/>
      <c r="X262" s="165">
        <f ca="1">G196</f>
        <v>1</v>
      </c>
      <c r="Y262" s="194"/>
    </row>
    <row r="263" spans="1:25" ht="21.95" customHeight="1" x14ac:dyDescent="0.2">
      <c r="A263" s="294" t="s">
        <v>2353</v>
      </c>
      <c r="B263" s="282" t="b">
        <f>(B262&gt;0)</f>
        <v>0</v>
      </c>
      <c r="C263" s="281"/>
      <c r="D263" s="281"/>
      <c r="E263" s="281"/>
      <c r="F263" s="281"/>
      <c r="G263" s="281"/>
      <c r="H263" s="215"/>
      <c r="I263" s="226" t="s">
        <v>2703</v>
      </c>
      <c r="J263" s="153"/>
      <c r="K263" s="194"/>
      <c r="L263" s="153"/>
      <c r="M263" s="194"/>
      <c r="N263" s="153"/>
      <c r="O263" s="194"/>
      <c r="P263" s="153"/>
      <c r="Q263" s="194"/>
      <c r="R263" s="153"/>
      <c r="S263" s="194"/>
      <c r="T263" s="153"/>
      <c r="U263" s="194"/>
      <c r="V263" s="153"/>
      <c r="W263" s="333"/>
      <c r="X263" s="165">
        <f ca="1">G197</f>
        <v>1</v>
      </c>
      <c r="Y263" s="194"/>
    </row>
    <row r="264" spans="1:25" ht="21.95" customHeight="1" x14ac:dyDescent="0.2">
      <c r="A264" s="285" t="s">
        <v>317</v>
      </c>
      <c r="B264" s="305" t="str">
        <f>C264&amp;" "&amp;B307</f>
        <v>Targeting to Lower-Income Households (Maximum Points: 20)</v>
      </c>
      <c r="C264" s="287" t="s">
        <v>3820</v>
      </c>
      <c r="D264" s="287"/>
      <c r="E264" s="287"/>
      <c r="F264" s="287"/>
      <c r="G264" s="172" t="str">
        <f>B301</f>
        <v>Targeting</v>
      </c>
      <c r="H264" s="215"/>
      <c r="I264" s="312" t="s">
        <v>3438</v>
      </c>
      <c r="J264" s="142"/>
      <c r="K264" s="142"/>
      <c r="L264" s="142"/>
      <c r="M264" s="142"/>
      <c r="N264" s="142"/>
      <c r="O264" s="142"/>
      <c r="P264" s="142"/>
      <c r="Q264" s="142"/>
      <c r="R264" s="142"/>
      <c r="S264" s="142"/>
      <c r="T264" s="142"/>
      <c r="U264" s="142"/>
      <c r="V264" s="142"/>
      <c r="W264" s="175" t="str">
        <f>SUBSTITUTE(SUBSTITUTE(SUBSTITUTE(IF(LEN(B198)&gt;F198,CONFIG_CHAR_LIMIT_TEMPLATE_ERR,CONFIG_CHAR_LIMIT_TEMPLATE),"[diff]",ABS(LEN(B198)-F198)),"[limit]",F198),"[used]",LEN(B198))</f>
        <v>1000 character(s) remaining</v>
      </c>
      <c r="X264" s="235"/>
      <c r="Y264" s="194"/>
    </row>
    <row r="265" spans="1:25" ht="21.95" customHeight="1" x14ac:dyDescent="0.2">
      <c r="A265" s="273" t="s">
        <v>2874</v>
      </c>
      <c r="B265" s="288" t="str">
        <f>IF(I483&lt;&gt;"",I483,"")</f>
        <v/>
      </c>
      <c r="C265" s="281">
        <f ca="1">VLOOKUP(A265,DB_TBL_DATA_FIELDS[[FIELD_ID]:[PCT_CALC_FIELD_STATUS_CODE]],22,FALSE)</f>
        <v>1</v>
      </c>
      <c r="D265" s="281" t="str">
        <f ca="1">IF(VLOOKUP(A265,DB_TBL_DATA_FIELDS[[FIELD_ID]:[ERROR_MESSAGE]],23,FALSE)&lt;&gt;0,VLOOKUP(A265,DB_TBL_DATA_FIELDS[[FIELD_ID]:[ERROR_MESSAGE]],23,FALSE),"")</f>
        <v/>
      </c>
      <c r="E265" s="281">
        <f>VLOOKUP(A265,DB_TBL_DATA_FIELDS[[#All],[FIELD_ID]:[RANGE_VALIDATION_MAX]],18,FALSE)</f>
        <v>1</v>
      </c>
      <c r="F265" s="281">
        <f>VLOOKUP(A265,DB_TBL_DATA_FIELDS[[#All],[FIELD_ID]:[RANGE_VALIDATION_MAX]],19,FALSE)</f>
        <v>999999999999</v>
      </c>
      <c r="G265" s="281">
        <f ca="1">IF(C265&lt;0,"",C265)</f>
        <v>1</v>
      </c>
      <c r="H265" s="215"/>
      <c r="I265" s="500"/>
      <c r="J265" s="501"/>
      <c r="K265" s="501"/>
      <c r="L265" s="501"/>
      <c r="M265" s="501"/>
      <c r="N265" s="501"/>
      <c r="O265" s="501"/>
      <c r="P265" s="501"/>
      <c r="Q265" s="501"/>
      <c r="R265" s="501"/>
      <c r="S265" s="501"/>
      <c r="T265" s="501"/>
      <c r="U265" s="501"/>
      <c r="V265" s="501"/>
      <c r="W265" s="502"/>
      <c r="X265" s="165" t="str">
        <f ca="1">G198</f>
        <v/>
      </c>
      <c r="Y265" s="194"/>
    </row>
    <row r="266" spans="1:25" ht="21.95" customHeight="1" x14ac:dyDescent="0.2">
      <c r="A266" s="273" t="s">
        <v>2876</v>
      </c>
      <c r="B266" s="288" t="str">
        <f>IF(I487&lt;&gt;"",I487,"")</f>
        <v/>
      </c>
      <c r="C266" s="281">
        <f ca="1">VLOOKUP(A266,DB_TBL_DATA_FIELDS[[FIELD_ID]:[PCT_CALC_FIELD_STATUS_CODE]],22,FALSE)</f>
        <v>1</v>
      </c>
      <c r="D266" s="281" t="str">
        <f ca="1">IF(VLOOKUP(A266,DB_TBL_DATA_FIELDS[[FIELD_ID]:[ERROR_MESSAGE]],23,FALSE)&lt;&gt;0,VLOOKUP(A266,DB_TBL_DATA_FIELDS[[FIELD_ID]:[ERROR_MESSAGE]],23,FALSE),"")</f>
        <v/>
      </c>
      <c r="E266" s="281">
        <f>VLOOKUP(A266,DB_TBL_DATA_FIELDS[[#All],[FIELD_ID]:[RANGE_VALIDATION_MAX]],18,FALSE)</f>
        <v>0</v>
      </c>
      <c r="F266" s="281">
        <f>VLOOKUP(A266,DB_TBL_DATA_FIELDS[[#All],[FIELD_ID]:[RANGE_VALIDATION_MAX]],19,FALSE)</f>
        <v>999999999999</v>
      </c>
      <c r="G266" s="281">
        <f t="shared" ref="G266:G288" ca="1" si="41">IF(C266&lt;0,"",C266)</f>
        <v>1</v>
      </c>
      <c r="H266" s="215"/>
      <c r="I266" s="503"/>
      <c r="J266" s="504"/>
      <c r="K266" s="504"/>
      <c r="L266" s="504"/>
      <c r="M266" s="504"/>
      <c r="N266" s="504"/>
      <c r="O266" s="504"/>
      <c r="P266" s="504"/>
      <c r="Q266" s="504"/>
      <c r="R266" s="504"/>
      <c r="S266" s="504"/>
      <c r="T266" s="504"/>
      <c r="U266" s="504"/>
      <c r="V266" s="504"/>
      <c r="W266" s="505"/>
      <c r="X266" s="153"/>
      <c r="Y266" s="194"/>
    </row>
    <row r="267" spans="1:25" ht="21.95" customHeight="1" x14ac:dyDescent="0.2">
      <c r="A267" s="273" t="s">
        <v>2878</v>
      </c>
      <c r="B267" s="288" t="str">
        <f>IF(Q484&lt;&gt;"",Q484,"")</f>
        <v/>
      </c>
      <c r="C267" s="281">
        <f ca="1">VLOOKUP(A267,DB_TBL_DATA_FIELDS[[FIELD_ID]:[PCT_CALC_FIELD_STATUS_CODE]],22,FALSE)</f>
        <v>-1</v>
      </c>
      <c r="D267" s="281" t="str">
        <f>IF(VLOOKUP(A267,DB_TBL_DATA_FIELDS[[FIELD_ID]:[ERROR_MESSAGE]],23,FALSE)&lt;&gt;0,VLOOKUP(A267,DB_TBL_DATA_FIELDS[[FIELD_ID]:[ERROR_MESSAGE]],23,FALSE),"")</f>
        <v/>
      </c>
      <c r="E267" s="281">
        <f>VLOOKUP(A267,DB_TBL_DATA_FIELDS[[#All],[FIELD_ID]:[RANGE_VALIDATION_MAX]],18,FALSE)</f>
        <v>0</v>
      </c>
      <c r="F267" s="281">
        <f>VLOOKUP(A267,DB_TBL_DATA_FIELDS[[#All],[FIELD_ID]:[RANGE_VALIDATION_MAX]],19,FALSE)</f>
        <v>999999999999</v>
      </c>
      <c r="G267" s="281" t="str">
        <f t="shared" ca="1" si="41"/>
        <v/>
      </c>
      <c r="H267" s="215"/>
      <c r="I267" s="503"/>
      <c r="J267" s="504"/>
      <c r="K267" s="504"/>
      <c r="L267" s="504"/>
      <c r="M267" s="504"/>
      <c r="N267" s="504"/>
      <c r="O267" s="504"/>
      <c r="P267" s="504"/>
      <c r="Q267" s="504"/>
      <c r="R267" s="504"/>
      <c r="S267" s="504"/>
      <c r="T267" s="504"/>
      <c r="U267" s="504"/>
      <c r="V267" s="504"/>
      <c r="W267" s="505"/>
      <c r="X267" s="153"/>
      <c r="Y267" s="194"/>
    </row>
    <row r="268" spans="1:25" ht="21.95" customHeight="1" x14ac:dyDescent="0.2">
      <c r="A268" s="273" t="s">
        <v>2897</v>
      </c>
      <c r="B268" s="288" t="str">
        <f t="shared" ref="B268:B278" si="42">IF(Q485&lt;&gt;"",Q485,"")</f>
        <v/>
      </c>
      <c r="C268" s="281">
        <f ca="1">VLOOKUP(A268,DB_TBL_DATA_FIELDS[[FIELD_ID]:[PCT_CALC_FIELD_STATUS_CODE]],22,FALSE)</f>
        <v>-1</v>
      </c>
      <c r="D268" s="281" t="str">
        <f>IF(VLOOKUP(A268,DB_TBL_DATA_FIELDS[[FIELD_ID]:[ERROR_MESSAGE]],23,FALSE)&lt;&gt;0,VLOOKUP(A268,DB_TBL_DATA_FIELDS[[FIELD_ID]:[ERROR_MESSAGE]],23,FALSE),"")</f>
        <v/>
      </c>
      <c r="E268" s="281">
        <f>VLOOKUP(A268,DB_TBL_DATA_FIELDS[[#All],[FIELD_ID]:[RANGE_VALIDATION_MAX]],18,FALSE)</f>
        <v>0</v>
      </c>
      <c r="F268" s="281">
        <f>VLOOKUP(A268,DB_TBL_DATA_FIELDS[[#All],[FIELD_ID]:[RANGE_VALIDATION_MAX]],19,FALSE)</f>
        <v>999999999999</v>
      </c>
      <c r="G268" s="281" t="str">
        <f t="shared" ca="1" si="41"/>
        <v/>
      </c>
      <c r="H268" s="153"/>
      <c r="I268" s="627" t="s">
        <v>3439</v>
      </c>
      <c r="J268" s="628"/>
      <c r="K268" s="628"/>
      <c r="L268" s="628"/>
      <c r="M268" s="628"/>
      <c r="N268" s="628"/>
      <c r="O268" s="628"/>
      <c r="P268" s="628"/>
      <c r="Q268" s="628"/>
      <c r="R268" s="628"/>
      <c r="S268" s="628"/>
      <c r="T268" s="628"/>
      <c r="U268" s="628"/>
      <c r="V268" s="628"/>
      <c r="W268" s="628"/>
      <c r="X268" s="153"/>
      <c r="Y268" s="153"/>
    </row>
    <row r="269" spans="1:25" ht="21.95" customHeight="1" x14ac:dyDescent="0.2">
      <c r="A269" s="273" t="s">
        <v>2895</v>
      </c>
      <c r="B269" s="288" t="str">
        <f t="shared" si="42"/>
        <v/>
      </c>
      <c r="C269" s="281">
        <f ca="1">VLOOKUP(A269,DB_TBL_DATA_FIELDS[[FIELD_ID]:[PCT_CALC_FIELD_STATUS_CODE]],22,FALSE)</f>
        <v>-1</v>
      </c>
      <c r="D269" s="281" t="str">
        <f>IF(VLOOKUP(A269,DB_TBL_DATA_FIELDS[[FIELD_ID]:[ERROR_MESSAGE]],23,FALSE)&lt;&gt;0,VLOOKUP(A269,DB_TBL_DATA_FIELDS[[FIELD_ID]:[ERROR_MESSAGE]],23,FALSE),"")</f>
        <v/>
      </c>
      <c r="E269" s="281">
        <f>VLOOKUP(A269,DB_TBL_DATA_FIELDS[[#All],[FIELD_ID]:[RANGE_VALIDATION_MAX]],18,FALSE)</f>
        <v>0</v>
      </c>
      <c r="F269" s="281">
        <f>VLOOKUP(A269,DB_TBL_DATA_FIELDS[[#All],[FIELD_ID]:[RANGE_VALIDATION_MAX]],19,FALSE)</f>
        <v>999999999999</v>
      </c>
      <c r="G269" s="281" t="str">
        <f t="shared" ca="1" si="41"/>
        <v/>
      </c>
      <c r="H269" s="153"/>
      <c r="I269" s="510"/>
      <c r="J269" s="510"/>
      <c r="K269" s="510"/>
      <c r="L269" s="510"/>
      <c r="M269" s="510"/>
      <c r="N269" s="510"/>
      <c r="O269" s="510"/>
      <c r="P269" s="510"/>
      <c r="Q269" s="510"/>
      <c r="R269" s="510"/>
      <c r="S269" s="510"/>
      <c r="T269" s="510"/>
      <c r="U269" s="510"/>
      <c r="V269" s="510"/>
      <c r="W269" s="510"/>
      <c r="X269" s="153"/>
      <c r="Y269" s="153"/>
    </row>
    <row r="270" spans="1:25" ht="21.95" customHeight="1" x14ac:dyDescent="0.2">
      <c r="A270" s="273" t="s">
        <v>2893</v>
      </c>
      <c r="B270" s="288" t="str">
        <f t="shared" si="42"/>
        <v/>
      </c>
      <c r="C270" s="281">
        <f ca="1">VLOOKUP(A270,DB_TBL_DATA_FIELDS[[FIELD_ID]:[PCT_CALC_FIELD_STATUS_CODE]],22,FALSE)</f>
        <v>-1</v>
      </c>
      <c r="D270" s="281" t="str">
        <f>IF(VLOOKUP(A270,DB_TBL_DATA_FIELDS[[FIELD_ID]:[ERROR_MESSAGE]],23,FALSE)&lt;&gt;0,VLOOKUP(A270,DB_TBL_DATA_FIELDS[[FIELD_ID]:[ERROR_MESSAGE]],23,FALSE),"")</f>
        <v/>
      </c>
      <c r="E270" s="281">
        <f>VLOOKUP(A270,DB_TBL_DATA_FIELDS[[#All],[FIELD_ID]:[RANGE_VALIDATION_MAX]],18,FALSE)</f>
        <v>0</v>
      </c>
      <c r="F270" s="281">
        <f>VLOOKUP(A270,DB_TBL_DATA_FIELDS[[#All],[FIELD_ID]:[RANGE_VALIDATION_MAX]],19,FALSE)</f>
        <v>999999999999</v>
      </c>
      <c r="G270" s="281" t="str">
        <f t="shared" ca="1" si="41"/>
        <v/>
      </c>
      <c r="H270" s="153"/>
      <c r="I270" s="510"/>
      <c r="J270" s="510"/>
      <c r="K270" s="510"/>
      <c r="L270" s="510"/>
      <c r="M270" s="510"/>
      <c r="N270" s="510"/>
      <c r="O270" s="510"/>
      <c r="P270" s="510"/>
      <c r="Q270" s="510"/>
      <c r="R270" s="510"/>
      <c r="S270" s="510"/>
      <c r="T270" s="510"/>
      <c r="U270" s="510"/>
      <c r="V270" s="510"/>
      <c r="W270" s="510"/>
      <c r="X270" s="153"/>
      <c r="Y270" s="153"/>
    </row>
    <row r="271" spans="1:25" ht="21.95" customHeight="1" x14ac:dyDescent="0.2">
      <c r="A271" s="273" t="s">
        <v>2891</v>
      </c>
      <c r="B271" s="288" t="str">
        <f t="shared" si="42"/>
        <v/>
      </c>
      <c r="C271" s="281">
        <f ca="1">VLOOKUP(A271,DB_TBL_DATA_FIELDS[[FIELD_ID]:[PCT_CALC_FIELD_STATUS_CODE]],22,FALSE)</f>
        <v>-1</v>
      </c>
      <c r="D271" s="281" t="str">
        <f>IF(VLOOKUP(A271,DB_TBL_DATA_FIELDS[[FIELD_ID]:[ERROR_MESSAGE]],23,FALSE)&lt;&gt;0,VLOOKUP(A271,DB_TBL_DATA_FIELDS[[FIELD_ID]:[ERROR_MESSAGE]],23,FALSE),"")</f>
        <v/>
      </c>
      <c r="E271" s="281">
        <f>VLOOKUP(A271,DB_TBL_DATA_FIELDS[[#All],[FIELD_ID]:[RANGE_VALIDATION_MAX]],18,FALSE)</f>
        <v>0</v>
      </c>
      <c r="F271" s="281">
        <f>VLOOKUP(A271,DB_TBL_DATA_FIELDS[[#All],[FIELD_ID]:[RANGE_VALIDATION_MAX]],19,FALSE)</f>
        <v>999999999999</v>
      </c>
      <c r="G271" s="281" t="str">
        <f t="shared" ca="1" si="41"/>
        <v/>
      </c>
      <c r="H271" s="153"/>
      <c r="I271" s="510"/>
      <c r="J271" s="510"/>
      <c r="K271" s="510"/>
      <c r="L271" s="510"/>
      <c r="M271" s="510"/>
      <c r="N271" s="510"/>
      <c r="O271" s="510"/>
      <c r="P271" s="510"/>
      <c r="Q271" s="510"/>
      <c r="R271" s="510"/>
      <c r="S271" s="510"/>
      <c r="T271" s="510"/>
      <c r="U271" s="510"/>
      <c r="V271" s="510"/>
      <c r="W271" s="510"/>
      <c r="X271" s="153"/>
      <c r="Y271" s="153"/>
    </row>
    <row r="272" spans="1:25" ht="21.95" customHeight="1" x14ac:dyDescent="0.2">
      <c r="A272" s="273" t="s">
        <v>2889</v>
      </c>
      <c r="B272" s="288" t="str">
        <f t="shared" si="42"/>
        <v/>
      </c>
      <c r="C272" s="281">
        <f ca="1">VLOOKUP(A272,DB_TBL_DATA_FIELDS[[FIELD_ID]:[PCT_CALC_FIELD_STATUS_CODE]],22,FALSE)</f>
        <v>-1</v>
      </c>
      <c r="D272" s="281" t="str">
        <f>IF(VLOOKUP(A272,DB_TBL_DATA_FIELDS[[FIELD_ID]:[ERROR_MESSAGE]],23,FALSE)&lt;&gt;0,VLOOKUP(A272,DB_TBL_DATA_FIELDS[[FIELD_ID]:[ERROR_MESSAGE]],23,FALSE),"")</f>
        <v/>
      </c>
      <c r="E272" s="281">
        <f>VLOOKUP(A272,DB_TBL_DATA_FIELDS[[#All],[FIELD_ID]:[RANGE_VALIDATION_MAX]],18,FALSE)</f>
        <v>0</v>
      </c>
      <c r="F272" s="281">
        <f>VLOOKUP(A272,DB_TBL_DATA_FIELDS[[#All],[FIELD_ID]:[RANGE_VALIDATION_MAX]],19,FALSE)</f>
        <v>999999999999</v>
      </c>
      <c r="G272" s="281" t="str">
        <f t="shared" ca="1" si="41"/>
        <v/>
      </c>
      <c r="H272" s="153"/>
      <c r="I272" s="510"/>
      <c r="J272" s="510"/>
      <c r="K272" s="510"/>
      <c r="L272" s="510"/>
      <c r="M272" s="510"/>
      <c r="N272" s="510"/>
      <c r="O272" s="510"/>
      <c r="P272" s="510"/>
      <c r="Q272" s="510"/>
      <c r="R272" s="510"/>
      <c r="S272" s="510"/>
      <c r="T272" s="510"/>
      <c r="U272" s="510"/>
      <c r="V272" s="510"/>
      <c r="W272" s="510"/>
      <c r="X272" s="153"/>
      <c r="Y272" s="153"/>
    </row>
    <row r="273" spans="1:25" ht="21.95" customHeight="1" x14ac:dyDescent="0.2">
      <c r="A273" s="273" t="s">
        <v>2887</v>
      </c>
      <c r="B273" s="288" t="str">
        <f t="shared" si="42"/>
        <v/>
      </c>
      <c r="C273" s="281">
        <f ca="1">VLOOKUP(A273,DB_TBL_DATA_FIELDS[[FIELD_ID]:[PCT_CALC_FIELD_STATUS_CODE]],22,FALSE)</f>
        <v>-1</v>
      </c>
      <c r="D273" s="281" t="str">
        <f>IF(VLOOKUP(A273,DB_TBL_DATA_FIELDS[[FIELD_ID]:[ERROR_MESSAGE]],23,FALSE)&lt;&gt;0,VLOOKUP(A273,DB_TBL_DATA_FIELDS[[FIELD_ID]:[ERROR_MESSAGE]],23,FALSE),"")</f>
        <v/>
      </c>
      <c r="E273" s="281">
        <f>VLOOKUP(A273,DB_TBL_DATA_FIELDS[[#All],[FIELD_ID]:[RANGE_VALIDATION_MAX]],18,FALSE)</f>
        <v>0</v>
      </c>
      <c r="F273" s="281">
        <f>VLOOKUP(A273,DB_TBL_DATA_FIELDS[[#All],[FIELD_ID]:[RANGE_VALIDATION_MAX]],19,FALSE)</f>
        <v>999999999999</v>
      </c>
      <c r="G273" s="281" t="str">
        <f t="shared" ca="1" si="41"/>
        <v/>
      </c>
      <c r="H273" s="153"/>
      <c r="I273" s="153"/>
      <c r="J273" s="153"/>
      <c r="K273" s="153"/>
      <c r="L273" s="153"/>
      <c r="M273" s="153"/>
      <c r="N273" s="153"/>
      <c r="O273" s="153"/>
      <c r="P273" s="153"/>
      <c r="Q273" s="153"/>
      <c r="R273" s="153"/>
      <c r="S273" s="153"/>
      <c r="T273" s="153"/>
      <c r="U273" s="153"/>
      <c r="V273" s="153"/>
      <c r="W273" s="153"/>
      <c r="X273" s="153"/>
      <c r="Y273" s="153"/>
    </row>
    <row r="274" spans="1:25" ht="21.95" customHeight="1" x14ac:dyDescent="0.2">
      <c r="A274" s="273" t="s">
        <v>2885</v>
      </c>
      <c r="B274" s="288" t="str">
        <f t="shared" si="42"/>
        <v/>
      </c>
      <c r="C274" s="281">
        <f ca="1">VLOOKUP(A274,DB_TBL_DATA_FIELDS[[FIELD_ID]:[PCT_CALC_FIELD_STATUS_CODE]],22,FALSE)</f>
        <v>-1</v>
      </c>
      <c r="D274" s="281" t="str">
        <f>IF(VLOOKUP(A274,DB_TBL_DATA_FIELDS[[FIELD_ID]:[ERROR_MESSAGE]],23,FALSE)&lt;&gt;0,VLOOKUP(A274,DB_TBL_DATA_FIELDS[[FIELD_ID]:[ERROR_MESSAGE]],23,FALSE),"")</f>
        <v/>
      </c>
      <c r="E274" s="281">
        <f>VLOOKUP(A274,DB_TBL_DATA_FIELDS[[#All],[FIELD_ID]:[RANGE_VALIDATION_MAX]],18,FALSE)</f>
        <v>0</v>
      </c>
      <c r="F274" s="281">
        <f>VLOOKUP(A274,DB_TBL_DATA_FIELDS[[#All],[FIELD_ID]:[RANGE_VALIDATION_MAX]],19,FALSE)</f>
        <v>999999999999</v>
      </c>
      <c r="G274" s="281" t="str">
        <f t="shared" ca="1" si="41"/>
        <v/>
      </c>
      <c r="H274" s="215"/>
      <c r="I274" s="226" t="s">
        <v>2704</v>
      </c>
      <c r="J274" s="153"/>
      <c r="K274" s="194"/>
      <c r="L274" s="153"/>
      <c r="M274" s="194"/>
      <c r="N274" s="153"/>
      <c r="O274" s="194"/>
      <c r="P274" s="153"/>
      <c r="Q274" s="194"/>
      <c r="R274" s="153"/>
      <c r="S274" s="194"/>
      <c r="T274" s="153"/>
      <c r="U274" s="194"/>
      <c r="V274" s="153"/>
      <c r="W274" s="333"/>
      <c r="X274" s="165">
        <f ca="1">G199</f>
        <v>1</v>
      </c>
      <c r="Y274" s="194"/>
    </row>
    <row r="275" spans="1:25" ht="21.95" customHeight="1" x14ac:dyDescent="0.2">
      <c r="A275" s="273" t="s">
        <v>2883</v>
      </c>
      <c r="B275" s="288" t="str">
        <f t="shared" si="42"/>
        <v/>
      </c>
      <c r="C275" s="281">
        <f ca="1">VLOOKUP(A275,DB_TBL_DATA_FIELDS[[FIELD_ID]:[PCT_CALC_FIELD_STATUS_CODE]],22,FALSE)</f>
        <v>-1</v>
      </c>
      <c r="D275" s="281" t="str">
        <f>IF(VLOOKUP(A275,DB_TBL_DATA_FIELDS[[FIELD_ID]:[ERROR_MESSAGE]],23,FALSE)&lt;&gt;0,VLOOKUP(A275,DB_TBL_DATA_FIELDS[[FIELD_ID]:[ERROR_MESSAGE]],23,FALSE),"")</f>
        <v/>
      </c>
      <c r="E275" s="281">
        <f>VLOOKUP(A275,DB_TBL_DATA_FIELDS[[#All],[FIELD_ID]:[RANGE_VALIDATION_MAX]],18,FALSE)</f>
        <v>0</v>
      </c>
      <c r="F275" s="281">
        <f>VLOOKUP(A275,DB_TBL_DATA_FIELDS[[#All],[FIELD_ID]:[RANGE_VALIDATION_MAX]],19,FALSE)</f>
        <v>999999999999</v>
      </c>
      <c r="G275" s="281" t="str">
        <f t="shared" ca="1" si="41"/>
        <v/>
      </c>
      <c r="H275" s="215"/>
      <c r="I275" s="221" t="s">
        <v>3488</v>
      </c>
      <c r="J275" s="228"/>
      <c r="K275" s="228"/>
      <c r="L275" s="229"/>
      <c r="M275" s="229"/>
      <c r="N275" s="229"/>
      <c r="O275" s="215"/>
      <c r="P275" s="153"/>
      <c r="Q275" s="204"/>
      <c r="R275" s="204"/>
      <c r="S275" s="204"/>
      <c r="T275" s="204"/>
      <c r="U275" s="204"/>
      <c r="V275" s="204"/>
      <c r="W275" s="316"/>
      <c r="X275" s="165" t="str">
        <f ca="1">G200</f>
        <v/>
      </c>
      <c r="Y275" s="194"/>
    </row>
    <row r="276" spans="1:25" ht="21.95" customHeight="1" x14ac:dyDescent="0.2">
      <c r="A276" s="273" t="s">
        <v>2880</v>
      </c>
      <c r="B276" s="288" t="str">
        <f t="shared" si="42"/>
        <v/>
      </c>
      <c r="C276" s="281">
        <f ca="1">VLOOKUP(A276,DB_TBL_DATA_FIELDS[[FIELD_ID]:[PCT_CALC_FIELD_STATUS_CODE]],22,FALSE)</f>
        <v>-1</v>
      </c>
      <c r="D276" s="281" t="str">
        <f>IF(VLOOKUP(A276,DB_TBL_DATA_FIELDS[[FIELD_ID]:[ERROR_MESSAGE]],23,FALSE)&lt;&gt;0,VLOOKUP(A276,DB_TBL_DATA_FIELDS[[FIELD_ID]:[ERROR_MESSAGE]],23,FALSE),"")</f>
        <v/>
      </c>
      <c r="E276" s="281">
        <f>VLOOKUP(A276,DB_TBL_DATA_FIELDS[[#All],[FIELD_ID]:[RANGE_VALIDATION_MAX]],18,FALSE)</f>
        <v>0</v>
      </c>
      <c r="F276" s="281">
        <f>VLOOKUP(A276,DB_TBL_DATA_FIELDS[[#All],[FIELD_ID]:[RANGE_VALIDATION_MAX]],19,FALSE)</f>
        <v>999999999999</v>
      </c>
      <c r="G276" s="281" t="str">
        <f t="shared" ca="1" si="41"/>
        <v/>
      </c>
      <c r="H276" s="215"/>
      <c r="I276" s="221" t="s">
        <v>3489</v>
      </c>
      <c r="J276" s="228"/>
      <c r="K276" s="228"/>
      <c r="L276" s="229"/>
      <c r="M276" s="229"/>
      <c r="N276" s="229"/>
      <c r="O276" s="215"/>
      <c r="P276" s="153"/>
      <c r="Q276" s="204"/>
      <c r="R276" s="204"/>
      <c r="S276" s="204"/>
      <c r="T276" s="204"/>
      <c r="U276" s="204"/>
      <c r="V276" s="204"/>
      <c r="W276" s="316"/>
      <c r="X276" s="165" t="str">
        <f ca="1">G201</f>
        <v/>
      </c>
      <c r="Y276" s="194"/>
    </row>
    <row r="277" spans="1:25" ht="21.95" customHeight="1" x14ac:dyDescent="0.2">
      <c r="A277" s="273" t="s">
        <v>3400</v>
      </c>
      <c r="B277" s="288" t="str">
        <f t="shared" si="42"/>
        <v/>
      </c>
      <c r="C277" s="281">
        <f ca="1">VLOOKUP(A277,DB_TBL_DATA_FIELDS[[FIELD_ID]:[PCT_CALC_FIELD_STATUS_CODE]],22,FALSE)</f>
        <v>-1</v>
      </c>
      <c r="D277" s="281" t="str">
        <f>IF(VLOOKUP(A277,DB_TBL_DATA_FIELDS[[FIELD_ID]:[ERROR_MESSAGE]],23,FALSE)&lt;&gt;0,VLOOKUP(A277,DB_TBL_DATA_FIELDS[[FIELD_ID]:[ERROR_MESSAGE]],23,FALSE),"")</f>
        <v/>
      </c>
      <c r="E277" s="281">
        <f>VLOOKUP(A277,DB_TBL_DATA_FIELDS[[#All],[FIELD_ID]:[RANGE_VALIDATION_MAX]],18,FALSE)</f>
        <v>0</v>
      </c>
      <c r="F277" s="281">
        <f>VLOOKUP(A277,DB_TBL_DATA_FIELDS[[#All],[FIELD_ID]:[RANGE_VALIDATION_MAX]],19,FALSE)</f>
        <v>999999999999</v>
      </c>
      <c r="G277" s="281" t="str">
        <f t="shared" ref="G277:G278" ca="1" si="43">IF(C277&lt;0,"",C277)</f>
        <v/>
      </c>
      <c r="H277" s="215"/>
      <c r="I277" s="221" t="s">
        <v>3490</v>
      </c>
      <c r="J277" s="228"/>
      <c r="K277" s="228"/>
      <c r="L277" s="229"/>
      <c r="M277" s="229"/>
      <c r="N277" s="229"/>
      <c r="O277" s="215"/>
      <c r="P277" s="153"/>
      <c r="Q277" s="204"/>
      <c r="R277" s="204"/>
      <c r="S277" s="204"/>
      <c r="T277" s="204"/>
      <c r="U277" s="204"/>
      <c r="V277" s="204"/>
      <c r="W277" s="316"/>
      <c r="X277" s="165" t="str">
        <f ca="1">G202</f>
        <v/>
      </c>
      <c r="Y277" s="194"/>
    </row>
    <row r="278" spans="1:25" ht="21.95" customHeight="1" x14ac:dyDescent="0.2">
      <c r="A278" s="273" t="s">
        <v>3401</v>
      </c>
      <c r="B278" s="288" t="str">
        <f t="shared" si="42"/>
        <v/>
      </c>
      <c r="C278" s="281">
        <f ca="1">VLOOKUP(A278,DB_TBL_DATA_FIELDS[[FIELD_ID]:[PCT_CALC_FIELD_STATUS_CODE]],22,FALSE)</f>
        <v>-1</v>
      </c>
      <c r="D278" s="281" t="str">
        <f>IF(VLOOKUP(A278,DB_TBL_DATA_FIELDS[[FIELD_ID]:[ERROR_MESSAGE]],23,FALSE)&lt;&gt;0,VLOOKUP(A278,DB_TBL_DATA_FIELDS[[FIELD_ID]:[ERROR_MESSAGE]],23,FALSE),"")</f>
        <v/>
      </c>
      <c r="E278" s="281">
        <f>VLOOKUP(A278,DB_TBL_DATA_FIELDS[[#All],[FIELD_ID]:[RANGE_VALIDATION_MAX]],18,FALSE)</f>
        <v>0</v>
      </c>
      <c r="F278" s="281">
        <f>VLOOKUP(A278,DB_TBL_DATA_FIELDS[[#All],[FIELD_ID]:[RANGE_VALIDATION_MAX]],19,FALSE)</f>
        <v>999999999999</v>
      </c>
      <c r="G278" s="281" t="str">
        <f t="shared" ca="1" si="43"/>
        <v/>
      </c>
      <c r="H278" s="215"/>
      <c r="I278" s="194"/>
      <c r="J278" s="153"/>
      <c r="K278" s="194"/>
      <c r="L278" s="153"/>
      <c r="M278" s="194"/>
      <c r="N278" s="153"/>
      <c r="O278" s="194"/>
      <c r="P278" s="153"/>
      <c r="Q278" s="194"/>
      <c r="R278" s="153"/>
      <c r="S278" s="194"/>
      <c r="T278" s="153"/>
      <c r="U278" s="194"/>
      <c r="V278" s="153"/>
      <c r="W278" s="194"/>
      <c r="X278" s="153"/>
      <c r="Y278" s="194"/>
    </row>
    <row r="279" spans="1:25" ht="21.95" customHeight="1" x14ac:dyDescent="0.2">
      <c r="A279" s="273" t="s">
        <v>2879</v>
      </c>
      <c r="B279" s="288" t="str">
        <f>IF(U484&lt;&gt;"",U484,"")</f>
        <v/>
      </c>
      <c r="C279" s="281">
        <f ca="1">VLOOKUP(A279,DB_TBL_DATA_FIELDS[[FIELD_ID]:[PCT_CALC_FIELD_STATUS_CODE]],22,FALSE)</f>
        <v>-1</v>
      </c>
      <c r="D279" s="281" t="str">
        <f>IF(VLOOKUP(A279,DB_TBL_DATA_FIELDS[[FIELD_ID]:[ERROR_MESSAGE]],23,FALSE)&lt;&gt;0,VLOOKUP(A279,DB_TBL_DATA_FIELDS[[FIELD_ID]:[ERROR_MESSAGE]],23,FALSE),"")</f>
        <v/>
      </c>
      <c r="E279" s="281">
        <f>VLOOKUP(A279,DB_TBL_DATA_FIELDS[[#All],[FIELD_ID]:[RANGE_VALIDATION_MAX]],18,FALSE)</f>
        <v>0</v>
      </c>
      <c r="F279" s="281">
        <f>VLOOKUP(A279,DB_TBL_DATA_FIELDS[[#All],[FIELD_ID]:[RANGE_VALIDATION_MAX]],19,FALSE)</f>
        <v>0.8</v>
      </c>
      <c r="G279" s="281" t="str">
        <f t="shared" ca="1" si="41"/>
        <v/>
      </c>
      <c r="H279" s="215"/>
      <c r="I279" s="563" t="s">
        <v>2705</v>
      </c>
      <c r="J279" s="614"/>
      <c r="K279" s="614"/>
      <c r="L279" s="614"/>
      <c r="M279" s="614"/>
      <c r="N279" s="614"/>
      <c r="O279" s="614"/>
      <c r="P279" s="614"/>
      <c r="Q279" s="614"/>
      <c r="R279" s="614"/>
      <c r="S279" s="614"/>
      <c r="T279" s="614"/>
      <c r="U279" s="614"/>
      <c r="V279" s="153"/>
      <c r="W279" s="333"/>
      <c r="X279" s="165">
        <f ca="1">G203</f>
        <v>1</v>
      </c>
      <c r="Y279" s="194"/>
    </row>
    <row r="280" spans="1:25" ht="21.95" customHeight="1" x14ac:dyDescent="0.2">
      <c r="A280" s="273" t="s">
        <v>2896</v>
      </c>
      <c r="B280" s="288" t="str">
        <f t="shared" ref="B280:B290" si="44">IF(U485&lt;&gt;"",U485,"")</f>
        <v/>
      </c>
      <c r="C280" s="281">
        <f ca="1">VLOOKUP(A280,DB_TBL_DATA_FIELDS[[FIELD_ID]:[PCT_CALC_FIELD_STATUS_CODE]],22,FALSE)</f>
        <v>-1</v>
      </c>
      <c r="D280" s="281" t="str">
        <f>IF(VLOOKUP(A280,DB_TBL_DATA_FIELDS[[FIELD_ID]:[ERROR_MESSAGE]],23,FALSE)&lt;&gt;0,VLOOKUP(A280,DB_TBL_DATA_FIELDS[[FIELD_ID]:[ERROR_MESSAGE]],23,FALSE),"")</f>
        <v/>
      </c>
      <c r="E280" s="281">
        <f>VLOOKUP(A280,DB_TBL_DATA_FIELDS[[#All],[FIELD_ID]:[RANGE_VALIDATION_MAX]],18,FALSE)</f>
        <v>0</v>
      </c>
      <c r="F280" s="281">
        <f>VLOOKUP(A280,DB_TBL_DATA_FIELDS[[#All],[FIELD_ID]:[RANGE_VALIDATION_MAX]],19,FALSE)</f>
        <v>0.8</v>
      </c>
      <c r="G280" s="281" t="str">
        <f t="shared" ca="1" si="41"/>
        <v/>
      </c>
      <c r="H280" s="215"/>
      <c r="I280" s="614"/>
      <c r="J280" s="614"/>
      <c r="K280" s="614"/>
      <c r="L280" s="614"/>
      <c r="M280" s="614"/>
      <c r="N280" s="614"/>
      <c r="O280" s="614"/>
      <c r="P280" s="614"/>
      <c r="Q280" s="614"/>
      <c r="R280" s="614"/>
      <c r="S280" s="614"/>
      <c r="T280" s="614"/>
      <c r="U280" s="614"/>
      <c r="V280" s="153"/>
      <c r="W280" s="194"/>
      <c r="X280" s="165"/>
      <c r="Y280" s="194"/>
    </row>
    <row r="281" spans="1:25" ht="21.95" customHeight="1" x14ac:dyDescent="0.2">
      <c r="A281" s="273" t="s">
        <v>2894</v>
      </c>
      <c r="B281" s="288" t="str">
        <f t="shared" si="44"/>
        <v/>
      </c>
      <c r="C281" s="281">
        <f ca="1">VLOOKUP(A281,DB_TBL_DATA_FIELDS[[FIELD_ID]:[PCT_CALC_FIELD_STATUS_CODE]],22,FALSE)</f>
        <v>-1</v>
      </c>
      <c r="D281" s="281" t="str">
        <f>IF(VLOOKUP(A281,DB_TBL_DATA_FIELDS[[FIELD_ID]:[ERROR_MESSAGE]],23,FALSE)&lt;&gt;0,VLOOKUP(A281,DB_TBL_DATA_FIELDS[[FIELD_ID]:[ERROR_MESSAGE]],23,FALSE),"")</f>
        <v/>
      </c>
      <c r="E281" s="281">
        <f>VLOOKUP(A281,DB_TBL_DATA_FIELDS[[#All],[FIELD_ID]:[RANGE_VALIDATION_MAX]],18,FALSE)</f>
        <v>0</v>
      </c>
      <c r="F281" s="281">
        <f>VLOOKUP(A281,DB_TBL_DATA_FIELDS[[#All],[FIELD_ID]:[RANGE_VALIDATION_MAX]],19,FALSE)</f>
        <v>0.8</v>
      </c>
      <c r="G281" s="281" t="str">
        <f t="shared" ca="1" si="41"/>
        <v/>
      </c>
      <c r="H281" s="215"/>
      <c r="I281" s="226" t="s">
        <v>2706</v>
      </c>
      <c r="J281" s="153"/>
      <c r="K281" s="194"/>
      <c r="L281" s="153"/>
      <c r="M281" s="194"/>
      <c r="N281" s="153"/>
      <c r="O281" s="194"/>
      <c r="P281" s="153"/>
      <c r="Q281" s="194"/>
      <c r="R281" s="153"/>
      <c r="S281" s="194"/>
      <c r="T281" s="153"/>
      <c r="U281" s="194"/>
      <c r="V281" s="153"/>
      <c r="W281" s="333"/>
      <c r="X281" s="165">
        <f ca="1">G204</f>
        <v>1</v>
      </c>
      <c r="Y281" s="194"/>
    </row>
    <row r="282" spans="1:25" ht="21.95" customHeight="1" x14ac:dyDescent="0.2">
      <c r="A282" s="273" t="s">
        <v>2892</v>
      </c>
      <c r="B282" s="288" t="str">
        <f t="shared" si="44"/>
        <v/>
      </c>
      <c r="C282" s="281">
        <f ca="1">VLOOKUP(A282,DB_TBL_DATA_FIELDS[[FIELD_ID]:[PCT_CALC_FIELD_STATUS_CODE]],22,FALSE)</f>
        <v>-1</v>
      </c>
      <c r="D282" s="281" t="str">
        <f>IF(VLOOKUP(A282,DB_TBL_DATA_FIELDS[[FIELD_ID]:[ERROR_MESSAGE]],23,FALSE)&lt;&gt;0,VLOOKUP(A282,DB_TBL_DATA_FIELDS[[FIELD_ID]:[ERROR_MESSAGE]],23,FALSE),"")</f>
        <v/>
      </c>
      <c r="E282" s="281">
        <f>VLOOKUP(A282,DB_TBL_DATA_FIELDS[[#All],[FIELD_ID]:[RANGE_VALIDATION_MAX]],18,FALSE)</f>
        <v>0</v>
      </c>
      <c r="F282" s="281">
        <f>VLOOKUP(A282,DB_TBL_DATA_FIELDS[[#All],[FIELD_ID]:[RANGE_VALIDATION_MAX]],19,FALSE)</f>
        <v>0.8</v>
      </c>
      <c r="G282" s="281" t="str">
        <f t="shared" ca="1" si="41"/>
        <v/>
      </c>
      <c r="H282" s="215"/>
      <c r="I282" s="226"/>
      <c r="J282" s="153"/>
      <c r="K282" s="194"/>
      <c r="L282" s="153"/>
      <c r="M282" s="194"/>
      <c r="N282" s="153"/>
      <c r="O282" s="194"/>
      <c r="P282" s="153"/>
      <c r="Q282" s="194"/>
      <c r="R282" s="153"/>
      <c r="S282" s="194"/>
      <c r="T282" s="153"/>
      <c r="U282" s="194"/>
      <c r="V282" s="153"/>
      <c r="W282" s="194"/>
      <c r="X282" s="153"/>
      <c r="Y282" s="194"/>
    </row>
    <row r="283" spans="1:25" ht="21.95" customHeight="1" x14ac:dyDescent="0.2">
      <c r="A283" s="273" t="s">
        <v>2890</v>
      </c>
      <c r="B283" s="288" t="str">
        <f t="shared" si="44"/>
        <v/>
      </c>
      <c r="C283" s="281">
        <f ca="1">VLOOKUP(A283,DB_TBL_DATA_FIELDS[[FIELD_ID]:[PCT_CALC_FIELD_STATUS_CODE]],22,FALSE)</f>
        <v>-1</v>
      </c>
      <c r="D283" s="281" t="str">
        <f>IF(VLOOKUP(A283,DB_TBL_DATA_FIELDS[[FIELD_ID]:[ERROR_MESSAGE]],23,FALSE)&lt;&gt;0,VLOOKUP(A283,DB_TBL_DATA_FIELDS[[FIELD_ID]:[ERROR_MESSAGE]],23,FALSE),"")</f>
        <v/>
      </c>
      <c r="E283" s="281">
        <f>VLOOKUP(A283,DB_TBL_DATA_FIELDS[[#All],[FIELD_ID]:[RANGE_VALIDATION_MAX]],18,FALSE)</f>
        <v>0</v>
      </c>
      <c r="F283" s="281">
        <f>VLOOKUP(A283,DB_TBL_DATA_FIELDS[[#All],[FIELD_ID]:[RANGE_VALIDATION_MAX]],19,FALSE)</f>
        <v>0.8</v>
      </c>
      <c r="G283" s="281" t="str">
        <f t="shared" ca="1" si="41"/>
        <v/>
      </c>
      <c r="H283" s="215"/>
      <c r="I283" s="226" t="s">
        <v>2707</v>
      </c>
      <c r="J283" s="153"/>
      <c r="K283" s="194"/>
      <c r="L283" s="153"/>
      <c r="M283" s="194"/>
      <c r="N283" s="153"/>
      <c r="O283" s="194"/>
      <c r="P283" s="153"/>
      <c r="Q283" s="194"/>
      <c r="R283" s="153"/>
      <c r="S283" s="194"/>
      <c r="T283" s="153"/>
      <c r="U283" s="194"/>
      <c r="V283" s="153"/>
      <c r="W283" s="333"/>
      <c r="X283" s="165">
        <f ca="1">G205</f>
        <v>1</v>
      </c>
      <c r="Y283" s="194"/>
    </row>
    <row r="284" spans="1:25" ht="21.95" customHeight="1" x14ac:dyDescent="0.2">
      <c r="A284" s="273" t="s">
        <v>2888</v>
      </c>
      <c r="B284" s="288" t="str">
        <f t="shared" si="44"/>
        <v/>
      </c>
      <c r="C284" s="281">
        <f ca="1">VLOOKUP(A284,DB_TBL_DATA_FIELDS[[FIELD_ID]:[PCT_CALC_FIELD_STATUS_CODE]],22,FALSE)</f>
        <v>-1</v>
      </c>
      <c r="D284" s="281" t="str">
        <f>IF(VLOOKUP(A284,DB_TBL_DATA_FIELDS[[FIELD_ID]:[ERROR_MESSAGE]],23,FALSE)&lt;&gt;0,VLOOKUP(A284,DB_TBL_DATA_FIELDS[[FIELD_ID]:[ERROR_MESSAGE]],23,FALSE),"")</f>
        <v/>
      </c>
      <c r="E284" s="281">
        <f>VLOOKUP(A284,DB_TBL_DATA_FIELDS[[#All],[FIELD_ID]:[RANGE_VALIDATION_MAX]],18,FALSE)</f>
        <v>0</v>
      </c>
      <c r="F284" s="281">
        <f>VLOOKUP(A284,DB_TBL_DATA_FIELDS[[#All],[FIELD_ID]:[RANGE_VALIDATION_MAX]],19,FALSE)</f>
        <v>0.8</v>
      </c>
      <c r="G284" s="281" t="str">
        <f t="shared" ca="1" si="41"/>
        <v/>
      </c>
      <c r="H284" s="215"/>
      <c r="I284" s="226"/>
      <c r="J284" s="153"/>
      <c r="K284" s="194"/>
      <c r="L284" s="153"/>
      <c r="M284" s="194"/>
      <c r="N284" s="153"/>
      <c r="O284" s="194"/>
      <c r="P284" s="153"/>
      <c r="Q284" s="194"/>
      <c r="R284" s="153"/>
      <c r="S284" s="194"/>
      <c r="T284" s="153"/>
      <c r="U284" s="194"/>
      <c r="V284" s="153"/>
      <c r="W284" s="194"/>
      <c r="X284" s="153"/>
      <c r="Y284" s="194"/>
    </row>
    <row r="285" spans="1:25" ht="21.95" customHeight="1" x14ac:dyDescent="0.2">
      <c r="A285" s="273" t="s">
        <v>2886</v>
      </c>
      <c r="B285" s="288" t="str">
        <f t="shared" si="44"/>
        <v/>
      </c>
      <c r="C285" s="281">
        <f ca="1">VLOOKUP(A285,DB_TBL_DATA_FIELDS[[FIELD_ID]:[PCT_CALC_FIELD_STATUS_CODE]],22,FALSE)</f>
        <v>-1</v>
      </c>
      <c r="D285" s="281" t="str">
        <f>IF(VLOOKUP(A285,DB_TBL_DATA_FIELDS[[FIELD_ID]:[ERROR_MESSAGE]],23,FALSE)&lt;&gt;0,VLOOKUP(A285,DB_TBL_DATA_FIELDS[[FIELD_ID]:[ERROR_MESSAGE]],23,FALSE),"")</f>
        <v/>
      </c>
      <c r="E285" s="281">
        <f>VLOOKUP(A285,DB_TBL_DATA_FIELDS[[#All],[FIELD_ID]:[RANGE_VALIDATION_MAX]],18,FALSE)</f>
        <v>0</v>
      </c>
      <c r="F285" s="281">
        <f>VLOOKUP(A285,DB_TBL_DATA_FIELDS[[#All],[FIELD_ID]:[RANGE_VALIDATION_MAX]],19,FALSE)</f>
        <v>0.8</v>
      </c>
      <c r="G285" s="281" t="str">
        <f t="shared" ca="1" si="41"/>
        <v/>
      </c>
      <c r="H285" s="215"/>
      <c r="I285" s="226" t="s">
        <v>3609</v>
      </c>
      <c r="J285" s="153"/>
      <c r="K285" s="194"/>
      <c r="L285" s="153"/>
      <c r="M285" s="194"/>
      <c r="N285" s="153"/>
      <c r="O285" s="194"/>
      <c r="P285" s="153"/>
      <c r="Q285" s="194"/>
      <c r="R285" s="153"/>
      <c r="S285" s="194"/>
      <c r="T285" s="153"/>
      <c r="U285" s="194"/>
      <c r="V285" s="153"/>
      <c r="W285" s="333"/>
      <c r="X285" s="165">
        <f ca="1">G206</f>
        <v>1</v>
      </c>
      <c r="Y285" s="194"/>
    </row>
    <row r="286" spans="1:25" ht="21.95" customHeight="1" x14ac:dyDescent="0.2">
      <c r="A286" s="273" t="s">
        <v>2884</v>
      </c>
      <c r="B286" s="288" t="str">
        <f t="shared" si="44"/>
        <v/>
      </c>
      <c r="C286" s="281">
        <f ca="1">VLOOKUP(A286,DB_TBL_DATA_FIELDS[[FIELD_ID]:[PCT_CALC_FIELD_STATUS_CODE]],22,FALSE)</f>
        <v>-1</v>
      </c>
      <c r="D286" s="281" t="str">
        <f>IF(VLOOKUP(A286,DB_TBL_DATA_FIELDS[[FIELD_ID]:[ERROR_MESSAGE]],23,FALSE)&lt;&gt;0,VLOOKUP(A286,DB_TBL_DATA_FIELDS[[FIELD_ID]:[ERROR_MESSAGE]],23,FALSE),"")</f>
        <v/>
      </c>
      <c r="E286" s="281">
        <f>VLOOKUP(A286,DB_TBL_DATA_FIELDS[[#All],[FIELD_ID]:[RANGE_VALIDATION_MAX]],18,FALSE)</f>
        <v>0</v>
      </c>
      <c r="F286" s="281">
        <f>VLOOKUP(A286,DB_TBL_DATA_FIELDS[[#All],[FIELD_ID]:[RANGE_VALIDATION_MAX]],19,FALSE)</f>
        <v>0.8</v>
      </c>
      <c r="G286" s="281" t="str">
        <f t="shared" ca="1" si="41"/>
        <v/>
      </c>
      <c r="H286" s="215"/>
      <c r="I286" s="221" t="s">
        <v>3491</v>
      </c>
      <c r="J286" s="153"/>
      <c r="K286" s="194"/>
      <c r="L286" s="153"/>
      <c r="M286" s="194"/>
      <c r="N286" s="153"/>
      <c r="O286" s="194"/>
      <c r="P286" s="153"/>
      <c r="Q286" s="194"/>
      <c r="R286" s="153"/>
      <c r="S286" s="194"/>
      <c r="T286" s="153"/>
      <c r="U286" s="194"/>
      <c r="V286" s="153"/>
      <c r="W286" s="175" t="str">
        <f>SUBSTITUTE(SUBSTITUTE(SUBSTITUTE(IF(LEN(B207)&gt;F207,CONFIG_CHAR_LIMIT_TEMPLATE_ERR,CONFIG_CHAR_LIMIT_TEMPLATE),"[diff]",ABS(LEN(B207)-F207)),"[limit]",F207),"[used]",LEN(B207))</f>
        <v>1000 character(s) remaining</v>
      </c>
      <c r="X286" s="153"/>
      <c r="Y286" s="194"/>
    </row>
    <row r="287" spans="1:25" ht="21.95" customHeight="1" x14ac:dyDescent="0.2">
      <c r="A287" s="273" t="s">
        <v>2882</v>
      </c>
      <c r="B287" s="288" t="str">
        <f t="shared" si="44"/>
        <v/>
      </c>
      <c r="C287" s="281">
        <f ca="1">VLOOKUP(A287,DB_TBL_DATA_FIELDS[[FIELD_ID]:[PCT_CALC_FIELD_STATUS_CODE]],22,FALSE)</f>
        <v>-1</v>
      </c>
      <c r="D287" s="281" t="str">
        <f>IF(VLOOKUP(A287,DB_TBL_DATA_FIELDS[[FIELD_ID]:[ERROR_MESSAGE]],23,FALSE)&lt;&gt;0,VLOOKUP(A287,DB_TBL_DATA_FIELDS[[FIELD_ID]:[ERROR_MESSAGE]],23,FALSE),"")</f>
        <v/>
      </c>
      <c r="E287" s="281">
        <f>VLOOKUP(A287,DB_TBL_DATA_FIELDS[[#All],[FIELD_ID]:[RANGE_VALIDATION_MAX]],18,FALSE)</f>
        <v>0</v>
      </c>
      <c r="F287" s="281">
        <f>VLOOKUP(A287,DB_TBL_DATA_FIELDS[[#All],[FIELD_ID]:[RANGE_VALIDATION_MAX]],19,FALSE)</f>
        <v>0.8</v>
      </c>
      <c r="G287" s="281" t="str">
        <f t="shared" ca="1" si="41"/>
        <v/>
      </c>
      <c r="H287" s="215"/>
      <c r="I287" s="500"/>
      <c r="J287" s="501"/>
      <c r="K287" s="501"/>
      <c r="L287" s="501"/>
      <c r="M287" s="501"/>
      <c r="N287" s="501"/>
      <c r="O287" s="501"/>
      <c r="P287" s="501"/>
      <c r="Q287" s="501"/>
      <c r="R287" s="501"/>
      <c r="S287" s="501"/>
      <c r="T287" s="501"/>
      <c r="U287" s="501"/>
      <c r="V287" s="501"/>
      <c r="W287" s="502"/>
      <c r="X287" s="165" t="str">
        <f ca="1">G207</f>
        <v/>
      </c>
      <c r="Y287" s="194"/>
    </row>
    <row r="288" spans="1:25" ht="21.95" customHeight="1" x14ac:dyDescent="0.2">
      <c r="A288" s="273" t="s">
        <v>2881</v>
      </c>
      <c r="B288" s="288" t="str">
        <f t="shared" si="44"/>
        <v/>
      </c>
      <c r="C288" s="281">
        <f ca="1">VLOOKUP(A288,DB_TBL_DATA_FIELDS[[FIELD_ID]:[PCT_CALC_FIELD_STATUS_CODE]],22,FALSE)</f>
        <v>-1</v>
      </c>
      <c r="D288" s="281" t="str">
        <f>IF(VLOOKUP(A288,DB_TBL_DATA_FIELDS[[FIELD_ID]:[ERROR_MESSAGE]],23,FALSE)&lt;&gt;0,VLOOKUP(A288,DB_TBL_DATA_FIELDS[[FIELD_ID]:[ERROR_MESSAGE]],23,FALSE),"")</f>
        <v/>
      </c>
      <c r="E288" s="281">
        <f>VLOOKUP(A288,DB_TBL_DATA_FIELDS[[#All],[FIELD_ID]:[RANGE_VALIDATION_MAX]],18,FALSE)</f>
        <v>0</v>
      </c>
      <c r="F288" s="281">
        <f>VLOOKUP(A288,DB_TBL_DATA_FIELDS[[#All],[FIELD_ID]:[RANGE_VALIDATION_MAX]],19,FALSE)</f>
        <v>0.8</v>
      </c>
      <c r="G288" s="281" t="str">
        <f t="shared" ca="1" si="41"/>
        <v/>
      </c>
      <c r="H288" s="215"/>
      <c r="I288" s="503"/>
      <c r="J288" s="504"/>
      <c r="K288" s="504"/>
      <c r="L288" s="504"/>
      <c r="M288" s="504"/>
      <c r="N288" s="504"/>
      <c r="O288" s="504"/>
      <c r="P288" s="504"/>
      <c r="Q288" s="504"/>
      <c r="R288" s="504"/>
      <c r="S288" s="504"/>
      <c r="T288" s="504"/>
      <c r="U288" s="504"/>
      <c r="V288" s="504"/>
      <c r="W288" s="505"/>
      <c r="X288" s="153"/>
      <c r="Y288" s="194"/>
    </row>
    <row r="289" spans="1:25" ht="21.95" customHeight="1" x14ac:dyDescent="0.2">
      <c r="A289" s="273" t="s">
        <v>3404</v>
      </c>
      <c r="B289" s="288" t="str">
        <f t="shared" si="44"/>
        <v/>
      </c>
      <c r="C289" s="281">
        <f ca="1">VLOOKUP(A289,DB_TBL_DATA_FIELDS[[FIELD_ID]:[PCT_CALC_FIELD_STATUS_CODE]],22,FALSE)</f>
        <v>-1</v>
      </c>
      <c r="D289" s="281" t="str">
        <f>IF(VLOOKUP(A289,DB_TBL_DATA_FIELDS[[FIELD_ID]:[ERROR_MESSAGE]],23,FALSE)&lt;&gt;0,VLOOKUP(A289,DB_TBL_DATA_FIELDS[[FIELD_ID]:[ERROR_MESSAGE]],23,FALSE),"")</f>
        <v/>
      </c>
      <c r="E289" s="281">
        <f>VLOOKUP(A289,DB_TBL_DATA_FIELDS[[#All],[FIELD_ID]:[RANGE_VALIDATION_MAX]],18,FALSE)</f>
        <v>0</v>
      </c>
      <c r="F289" s="281">
        <f>VLOOKUP(A289,DB_TBL_DATA_FIELDS[[#All],[FIELD_ID]:[RANGE_VALIDATION_MAX]],19,FALSE)</f>
        <v>0.8</v>
      </c>
      <c r="G289" s="281" t="str">
        <f t="shared" ref="G289:G290" ca="1" si="45">IF(C289&lt;0,"",C289)</f>
        <v/>
      </c>
      <c r="H289" s="215"/>
      <c r="I289" s="506"/>
      <c r="J289" s="507"/>
      <c r="K289" s="507"/>
      <c r="L289" s="507"/>
      <c r="M289" s="507"/>
      <c r="N289" s="507"/>
      <c r="O289" s="507"/>
      <c r="P289" s="507"/>
      <c r="Q289" s="507"/>
      <c r="R289" s="507"/>
      <c r="S289" s="507"/>
      <c r="T289" s="507"/>
      <c r="U289" s="507"/>
      <c r="V289" s="507"/>
      <c r="W289" s="508"/>
      <c r="X289" s="153"/>
      <c r="Y289" s="194"/>
    </row>
    <row r="290" spans="1:25" ht="21.95" customHeight="1" x14ac:dyDescent="0.2">
      <c r="A290" s="273" t="s">
        <v>3405</v>
      </c>
      <c r="B290" s="288" t="str">
        <f t="shared" si="44"/>
        <v/>
      </c>
      <c r="C290" s="281">
        <f ca="1">VLOOKUP(A290,DB_TBL_DATA_FIELDS[[FIELD_ID]:[PCT_CALC_FIELD_STATUS_CODE]],22,FALSE)</f>
        <v>-1</v>
      </c>
      <c r="D290" s="281" t="str">
        <f>IF(VLOOKUP(A290,DB_TBL_DATA_FIELDS[[FIELD_ID]:[ERROR_MESSAGE]],23,FALSE)&lt;&gt;0,VLOOKUP(A290,DB_TBL_DATA_FIELDS[[FIELD_ID]:[ERROR_MESSAGE]],23,FALSE),"")</f>
        <v/>
      </c>
      <c r="E290" s="281">
        <f>VLOOKUP(A290,DB_TBL_DATA_FIELDS[[#All],[FIELD_ID]:[RANGE_VALIDATION_MAX]],18,FALSE)</f>
        <v>0</v>
      </c>
      <c r="F290" s="281">
        <f>VLOOKUP(A290,DB_TBL_DATA_FIELDS[[#All],[FIELD_ID]:[RANGE_VALIDATION_MAX]],19,FALSE)</f>
        <v>0.8</v>
      </c>
      <c r="G290" s="281" t="str">
        <f t="shared" ca="1" si="45"/>
        <v/>
      </c>
      <c r="H290" s="215"/>
      <c r="I290" s="194"/>
      <c r="J290" s="153"/>
      <c r="K290" s="194"/>
      <c r="L290" s="153"/>
      <c r="M290" s="194"/>
      <c r="N290" s="153"/>
      <c r="O290" s="194"/>
      <c r="P290" s="153"/>
      <c r="Q290" s="194"/>
      <c r="R290" s="153"/>
      <c r="S290" s="194"/>
      <c r="T290" s="153"/>
      <c r="U290" s="194"/>
      <c r="V290" s="153"/>
      <c r="W290" s="194"/>
      <c r="X290" s="153"/>
      <c r="Y290" s="194"/>
    </row>
    <row r="291" spans="1:25" ht="21.95" customHeight="1" thickBot="1" x14ac:dyDescent="0.25">
      <c r="A291" s="273" t="s">
        <v>3603</v>
      </c>
      <c r="B291" s="296" t="str">
        <f ca="1">VLOOKUP(A291,'$DB.DATA'!D:H,5,FALSE)</f>
        <v/>
      </c>
      <c r="C291" s="281" t="str">
        <f ca="1">VLOOKUP(A291,DB_TBL_DATA_FIELDS[[FIELD_ID]:[PCT_CALC_FIELD_STATUS_CODE]],22,FALSE)</f>
        <v/>
      </c>
      <c r="D291" s="281" t="str">
        <f ca="1">IF(VLOOKUP(A291,DB_TBL_DATA_FIELDS[[FIELD_ID]:[ERROR_MESSAGE]],23,FALSE)&lt;&gt;0,VLOOKUP(A291,DB_TBL_DATA_FIELDS[[FIELD_ID]:[ERROR_MESSAGE]],23,FALSE),"")</f>
        <v/>
      </c>
      <c r="E291" s="281">
        <f>VLOOKUP(A291,DB_TBL_DATA_FIELDS[[#All],[FIELD_ID]:[RANGE_VALIDATION_MAX]],18,FALSE)</f>
        <v>0</v>
      </c>
      <c r="F291" s="281">
        <f>VLOOKUP(A291,DB_TBL_DATA_FIELDS[[#All],[FIELD_ID]:[RANGE_VALIDATION_MAX]],19,FALSE)</f>
        <v>1</v>
      </c>
      <c r="G291" s="281" t="str">
        <f t="shared" ref="G291" ca="1" si="46">IF(C291&lt;0,"",C291)</f>
        <v/>
      </c>
      <c r="H291" s="215"/>
      <c r="I291" s="424" t="str">
        <f>B218</f>
        <v>Project Sponsor Profile</v>
      </c>
      <c r="J291" s="269"/>
      <c r="K291" s="269"/>
      <c r="L291" s="269"/>
      <c r="M291" s="269"/>
      <c r="N291" s="269"/>
      <c r="O291" s="269"/>
      <c r="P291" s="269"/>
      <c r="Q291" s="269"/>
      <c r="R291" s="269"/>
      <c r="S291" s="269"/>
      <c r="T291" s="269"/>
      <c r="U291" s="269"/>
      <c r="V291" s="269"/>
      <c r="W291" s="269"/>
      <c r="X291" s="167" t="str">
        <f ca="1">"Status: "&amp;$B$233</f>
        <v>Status: Not Started</v>
      </c>
      <c r="Y291" s="194"/>
    </row>
    <row r="292" spans="1:25" ht="21.95" customHeight="1" x14ac:dyDescent="0.2">
      <c r="A292" s="273" t="s">
        <v>2875</v>
      </c>
      <c r="B292" s="296" t="str">
        <f ca="1">VLOOKUP(A292,'$DB.DATA'!D:H,5,FALSE)</f>
        <v/>
      </c>
      <c r="C292" s="281">
        <f ca="1">VLOOKUP(A292,DB_TBL_DATA_FIELDS[[FIELD_ID]:[PCT_CALC_FIELD_STATUS_CODE]],22,FALSE)</f>
        <v>1</v>
      </c>
      <c r="D292" s="281" t="str">
        <f ca="1">IF(VLOOKUP(A292,DB_TBL_DATA_FIELDS[[FIELD_ID]:[ERROR_MESSAGE]],23,FALSE)&lt;&gt;0,VLOOKUP(A292,DB_TBL_DATA_FIELDS[[FIELD_ID]:[ERROR_MESSAGE]],23,FALSE),"")</f>
        <v/>
      </c>
      <c r="E292" s="281">
        <f>VLOOKUP(A292,DB_TBL_DATA_FIELDS[[#All],[FIELD_ID]:[RANGE_VALIDATION_MAX]],18,FALSE)</f>
        <v>0</v>
      </c>
      <c r="F292" s="281">
        <f>VLOOKUP(A292,DB_TBL_DATA_FIELDS[[#All],[FIELD_ID]:[RANGE_VALIDATION_MAX]],19,FALSE)</f>
        <v>999999999999</v>
      </c>
      <c r="G292" s="281">
        <f ca="1">IF(C292&lt;0,"",C292)</f>
        <v>1</v>
      </c>
      <c r="H292" s="215"/>
      <c r="I292" s="194"/>
      <c r="J292" s="153"/>
      <c r="K292" s="194"/>
      <c r="L292" s="153"/>
      <c r="M292" s="194"/>
      <c r="N292" s="153"/>
      <c r="O292" s="194"/>
      <c r="P292" s="153"/>
      <c r="Q292" s="194"/>
      <c r="R292" s="153"/>
      <c r="S292" s="194"/>
      <c r="T292" s="153"/>
      <c r="U292" s="194"/>
      <c r="V292" s="153"/>
      <c r="W292" s="194"/>
      <c r="X292" s="153"/>
      <c r="Y292" s="194"/>
    </row>
    <row r="293" spans="1:25" ht="21.95" customHeight="1" x14ac:dyDescent="0.2">
      <c r="A293" s="273" t="s">
        <v>2877</v>
      </c>
      <c r="B293" s="288" t="str">
        <f>IF(I493&lt;&gt;"",I493,"")</f>
        <v/>
      </c>
      <c r="C293" s="281">
        <f ca="1">VLOOKUP(A293,DB_TBL_DATA_FIELDS[[FIELD_ID]:[PCT_CALC_FIELD_STATUS_CODE]],22,FALSE)</f>
        <v>1</v>
      </c>
      <c r="D293" s="281" t="str">
        <f ca="1">IF(VLOOKUP(A293,DB_TBL_DATA_FIELDS[[FIELD_ID]:[ERROR_MESSAGE]],23,FALSE)&lt;&gt;0,VLOOKUP(A293,DB_TBL_DATA_FIELDS[[FIELD_ID]:[ERROR_MESSAGE]],23,FALSE),"")</f>
        <v/>
      </c>
      <c r="E293" s="281">
        <f>VLOOKUP(A293,DB_TBL_DATA_FIELDS[[#All],[FIELD_ID]:[RANGE_VALIDATION_MAX]],18,FALSE)</f>
        <v>0</v>
      </c>
      <c r="F293" s="281">
        <f>VLOOKUP(A293,DB_TBL_DATA_FIELDS[[#All],[FIELD_ID]:[RANGE_VALIDATION_MAX]],19,FALSE)</f>
        <v>999999999999</v>
      </c>
      <c r="G293" s="281">
        <f t="shared" ref="G293" ca="1" si="47">IF(C293&lt;0,"",C293)</f>
        <v>1</v>
      </c>
      <c r="H293" s="215"/>
      <c r="I293" s="204" t="s">
        <v>202</v>
      </c>
      <c r="J293" s="153"/>
      <c r="K293" s="194"/>
      <c r="L293" s="153"/>
      <c r="M293" s="194"/>
      <c r="N293" s="153"/>
      <c r="O293" s="194"/>
      <c r="P293" s="153"/>
      <c r="Q293" s="194"/>
      <c r="R293" s="153"/>
      <c r="S293" s="194"/>
      <c r="T293" s="153"/>
      <c r="U293" s="194"/>
      <c r="V293" s="153"/>
      <c r="W293" s="194"/>
      <c r="X293" s="153"/>
      <c r="Y293" s="194"/>
    </row>
    <row r="294" spans="1:25" ht="21.95" customHeight="1" x14ac:dyDescent="0.2">
      <c r="A294" s="290" t="s">
        <v>318</v>
      </c>
      <c r="B294" s="282" t="str">
        <f>"C"&amp;MATCH(LEFT(A294,LEN(A294)-LEN("_RANGE")),A:A,0)+1&amp;":C"&amp;(ROW()-1)</f>
        <v>C265:C293</v>
      </c>
      <c r="C294" s="281"/>
      <c r="D294" s="281"/>
      <c r="E294" s="281"/>
      <c r="F294" s="281"/>
      <c r="G294" s="281"/>
      <c r="H294" s="215"/>
      <c r="I294" s="634" t="str">
        <f>IF(I55&lt;&gt;"",I55,"")</f>
        <v/>
      </c>
      <c r="J294" s="635"/>
      <c r="K294" s="635"/>
      <c r="L294" s="635"/>
      <c r="M294" s="635"/>
      <c r="N294" s="635"/>
      <c r="O294" s="635"/>
      <c r="P294" s="635"/>
      <c r="Q294" s="635"/>
      <c r="R294" s="635"/>
      <c r="S294" s="635"/>
      <c r="T294" s="635"/>
      <c r="U294" s="635"/>
      <c r="V294" s="635"/>
      <c r="W294" s="636"/>
      <c r="X294" s="153"/>
      <c r="Y294" s="194"/>
    </row>
    <row r="295" spans="1:25" ht="21.95" customHeight="1" x14ac:dyDescent="0.2">
      <c r="A295" s="290" t="s">
        <v>319</v>
      </c>
      <c r="B295" s="282">
        <f ca="1">COUNTIF(INDIRECT($B294),2)</f>
        <v>0</v>
      </c>
      <c r="C295" s="281"/>
      <c r="D295" s="281"/>
      <c r="E295" s="281"/>
      <c r="F295" s="281"/>
      <c r="G295" s="281"/>
      <c r="H295" s="215"/>
      <c r="I295" s="204" t="s">
        <v>3440</v>
      </c>
      <c r="J295" s="153"/>
      <c r="K295" s="194"/>
      <c r="L295" s="153"/>
      <c r="M295" s="194"/>
      <c r="N295" s="153"/>
      <c r="O295" s="194"/>
      <c r="P295" s="153"/>
      <c r="Q295" s="194"/>
      <c r="R295" s="153"/>
      <c r="S295" s="194"/>
      <c r="T295" s="153"/>
      <c r="U295" s="194"/>
      <c r="V295" s="153"/>
      <c r="W295" s="194"/>
      <c r="X295" s="153"/>
      <c r="Y295" s="194"/>
    </row>
    <row r="296" spans="1:25" ht="21.95" customHeight="1" x14ac:dyDescent="0.2">
      <c r="A296" s="290" t="s">
        <v>320</v>
      </c>
      <c r="B296" s="282">
        <f ca="1">COUNTIF(INDIRECT($B294),0)+COUNTIF(INDIRECT($B294),1)+COUNTIF(INDIRECT($B294),2)</f>
        <v>4</v>
      </c>
      <c r="C296" s="281"/>
      <c r="D296" s="281"/>
      <c r="E296" s="281"/>
      <c r="F296" s="281"/>
      <c r="G296" s="281"/>
      <c r="H296" s="215"/>
      <c r="I296" s="466"/>
      <c r="J296" s="467"/>
      <c r="K296" s="467"/>
      <c r="L296" s="467"/>
      <c r="M296" s="467"/>
      <c r="N296" s="467"/>
      <c r="O296" s="467"/>
      <c r="P296" s="467"/>
      <c r="Q296" s="467"/>
      <c r="R296" s="467"/>
      <c r="S296" s="467"/>
      <c r="T296" s="467"/>
      <c r="U296" s="467"/>
      <c r="V296" s="467"/>
      <c r="W296" s="468"/>
      <c r="X296" s="165">
        <f ca="1">G220</f>
        <v>1</v>
      </c>
      <c r="Y296" s="194"/>
    </row>
    <row r="297" spans="1:25" ht="21.95" customHeight="1" x14ac:dyDescent="0.2">
      <c r="A297" s="290" t="s">
        <v>321</v>
      </c>
      <c r="B297" s="282">
        <f ca="1">COUNTIF(INDIRECT($B294),0)</f>
        <v>0</v>
      </c>
      <c r="C297" s="281" t="s">
        <v>2607</v>
      </c>
      <c r="D297" s="281"/>
      <c r="E297" s="281"/>
      <c r="F297" s="281"/>
      <c r="G297" s="281"/>
      <c r="H297" s="215"/>
      <c r="J297" s="342"/>
      <c r="K297" s="342"/>
      <c r="L297" s="342"/>
      <c r="M297" s="342"/>
      <c r="N297" s="342"/>
      <c r="O297" s="342"/>
      <c r="P297" s="342"/>
      <c r="Q297" s="342"/>
      <c r="R297" s="342"/>
      <c r="S297" s="342"/>
      <c r="T297" s="342"/>
      <c r="U297" s="342"/>
      <c r="V297" s="342"/>
      <c r="W297" s="342"/>
      <c r="X297" s="153"/>
      <c r="Y297" s="194"/>
    </row>
    <row r="298" spans="1:25" ht="21.95" customHeight="1" thickBot="1" x14ac:dyDescent="0.25">
      <c r="A298" s="290" t="s">
        <v>322</v>
      </c>
      <c r="B298" s="291">
        <f ca="1">IFERROR(B295/B296,1.01)</f>
        <v>0</v>
      </c>
      <c r="C298" s="281"/>
      <c r="D298" s="281"/>
      <c r="E298" s="281"/>
      <c r="F298" s="281"/>
      <c r="G298" s="281"/>
      <c r="H298" s="215"/>
      <c r="I298" s="216" t="s">
        <v>3932</v>
      </c>
      <c r="J298" s="217"/>
      <c r="K298" s="223"/>
      <c r="L298" s="217"/>
      <c r="M298" s="223"/>
      <c r="N298" s="217"/>
      <c r="O298" s="223"/>
      <c r="P298" s="217"/>
      <c r="Q298" s="255"/>
      <c r="R298" s="217"/>
      <c r="S298" s="223"/>
      <c r="T298" s="217"/>
      <c r="U298" s="223"/>
      <c r="V298" s="217"/>
      <c r="W298" s="223"/>
      <c r="X298" s="251" t="str">
        <f ca="1">IF($C$236=1,1,"")</f>
        <v/>
      </c>
      <c r="Y298" s="194"/>
    </row>
    <row r="299" spans="1:25" ht="21.95" customHeight="1" thickTop="1" x14ac:dyDescent="0.2">
      <c r="A299" s="290" t="s">
        <v>323</v>
      </c>
      <c r="B299" s="292" t="str">
        <f ca="1">IF(B297&gt;0,"Data Error(s)",IF(B298=0,"Not Started",IF(B298&lt;1,ROUNDUP(B298*100,0)&amp;"% Done",IF(B298&gt;1,"Optional","Complete"))))</f>
        <v>Not Started</v>
      </c>
      <c r="C299" s="281"/>
      <c r="D299" s="281"/>
      <c r="E299" s="281"/>
      <c r="F299" s="281"/>
      <c r="G299" s="281"/>
      <c r="H299" s="215"/>
      <c r="I299" s="722" t="str">
        <f ca="1">IF($C$236=1,$B$236,"")</f>
        <v/>
      </c>
      <c r="J299" s="722"/>
      <c r="K299" s="722"/>
      <c r="L299" s="722"/>
      <c r="M299" s="722"/>
      <c r="N299" s="722"/>
      <c r="O299" s="722"/>
      <c r="P299" s="722"/>
      <c r="Q299" s="722"/>
      <c r="R299" s="722"/>
      <c r="S299" s="722"/>
      <c r="T299" s="722"/>
      <c r="U299" s="722"/>
      <c r="V299" s="722"/>
      <c r="W299" s="722"/>
      <c r="X299" s="251"/>
      <c r="Y299" s="194"/>
    </row>
    <row r="300" spans="1:25" ht="21.95" customHeight="1" x14ac:dyDescent="0.2">
      <c r="A300" s="290" t="s">
        <v>324</v>
      </c>
      <c r="B300" s="282" t="str">
        <f ca="1">IF(B297&gt;0,0,IF(B298&lt;1,"",2))</f>
        <v/>
      </c>
      <c r="C300" s="281"/>
      <c r="D300" s="281"/>
      <c r="E300" s="281"/>
      <c r="F300" s="281"/>
      <c r="G300" s="281"/>
      <c r="H300" s="215"/>
      <c r="I300" s="455" t="s">
        <v>3740</v>
      </c>
      <c r="J300" s="455"/>
      <c r="K300" s="455"/>
      <c r="L300" s="455"/>
      <c r="M300" s="455"/>
      <c r="N300" s="455"/>
      <c r="O300" s="455"/>
      <c r="P300" s="455"/>
      <c r="Q300" s="455"/>
      <c r="R300" s="455"/>
      <c r="S300" s="455"/>
      <c r="T300" s="455"/>
      <c r="U300" s="455"/>
      <c r="V300" s="455"/>
      <c r="W300" s="455"/>
      <c r="X300" s="153"/>
      <c r="Y300" s="194"/>
    </row>
    <row r="301" spans="1:25" ht="21.95" customHeight="1" x14ac:dyDescent="0.2">
      <c r="A301" s="290" t="s">
        <v>325</v>
      </c>
      <c r="B301" s="293" t="s">
        <v>2873</v>
      </c>
      <c r="C301" s="281"/>
      <c r="D301" s="281"/>
      <c r="E301" s="281"/>
      <c r="F301" s="281"/>
      <c r="G301" s="281"/>
      <c r="H301" s="215"/>
      <c r="I301" s="455"/>
      <c r="J301" s="455"/>
      <c r="K301" s="455"/>
      <c r="L301" s="455"/>
      <c r="M301" s="455"/>
      <c r="N301" s="455"/>
      <c r="O301" s="455"/>
      <c r="P301" s="455"/>
      <c r="Q301" s="455"/>
      <c r="R301" s="455"/>
      <c r="S301" s="455"/>
      <c r="T301" s="455"/>
      <c r="U301" s="455"/>
      <c r="V301" s="455"/>
      <c r="W301" s="455"/>
      <c r="X301" s="153"/>
      <c r="Y301" s="194"/>
    </row>
    <row r="302" spans="1:25" ht="21.95" customHeight="1" x14ac:dyDescent="0.2">
      <c r="A302" s="294" t="s">
        <v>2368</v>
      </c>
      <c r="B302" s="282" t="str">
        <f>IF(D260&lt;&gt;"",D260,"")</f>
        <v/>
      </c>
      <c r="C302" s="281">
        <f>IF(B302="",0,1)</f>
        <v>0</v>
      </c>
      <c r="D302" s="281"/>
      <c r="E302" s="281"/>
      <c r="F302" s="281"/>
      <c r="G302" s="281"/>
      <c r="H302" s="215"/>
      <c r="I302" s="389" t="s">
        <v>3741</v>
      </c>
      <c r="J302" s="153"/>
      <c r="K302" s="194"/>
      <c r="L302" s="153"/>
      <c r="M302" s="194"/>
      <c r="N302" s="153"/>
      <c r="O302" s="194"/>
      <c r="P302" s="153"/>
      <c r="Q302" s="194"/>
      <c r="R302" s="153"/>
      <c r="S302" s="194"/>
      <c r="T302" s="153"/>
      <c r="U302" s="194"/>
      <c r="V302" s="153"/>
      <c r="W302" s="380"/>
      <c r="X302" s="165">
        <f ca="1">G221</f>
        <v>1</v>
      </c>
      <c r="Y302" s="194"/>
    </row>
    <row r="303" spans="1:25" ht="21.95" customHeight="1" x14ac:dyDescent="0.2">
      <c r="A303" s="294" t="s">
        <v>2350</v>
      </c>
      <c r="B303" s="282">
        <f>SUM(C302)</f>
        <v>0</v>
      </c>
      <c r="C303" s="281" t="s">
        <v>2462</v>
      </c>
      <c r="D303" s="281"/>
      <c r="E303" s="281"/>
      <c r="F303" s="281"/>
      <c r="G303" s="281"/>
      <c r="H303" s="215"/>
      <c r="I303" s="225"/>
      <c r="J303" s="360"/>
      <c r="K303" s="360"/>
      <c r="L303" s="360"/>
      <c r="M303" s="360"/>
      <c r="N303" s="360"/>
      <c r="O303" s="360"/>
      <c r="P303" s="360"/>
      <c r="Q303" s="360"/>
      <c r="R303" s="360"/>
      <c r="S303" s="360"/>
      <c r="T303" s="360"/>
      <c r="U303" s="360"/>
      <c r="V303" s="360"/>
      <c r="W303" s="360"/>
      <c r="X303" s="153"/>
      <c r="Y303" s="194"/>
    </row>
    <row r="304" spans="1:25" ht="21.95" customHeight="1" x14ac:dyDescent="0.2">
      <c r="A304" s="294" t="s">
        <v>2351</v>
      </c>
      <c r="B304" s="282" t="b">
        <f>(B303&gt;0)</f>
        <v>0</v>
      </c>
      <c r="C304" s="281"/>
      <c r="D304" s="281"/>
      <c r="E304" s="281"/>
      <c r="F304" s="281"/>
      <c r="G304" s="281"/>
      <c r="H304" s="215"/>
      <c r="I304" s="455" t="s">
        <v>3933</v>
      </c>
      <c r="J304" s="455"/>
      <c r="K304" s="455"/>
      <c r="L304" s="455"/>
      <c r="M304" s="455"/>
      <c r="N304" s="455"/>
      <c r="O304" s="455"/>
      <c r="P304" s="455"/>
      <c r="Q304" s="455"/>
      <c r="R304" s="455"/>
      <c r="S304" s="455"/>
      <c r="T304" s="455"/>
      <c r="U304" s="455"/>
      <c r="V304" s="455"/>
      <c r="W304" s="455"/>
      <c r="X304" s="153"/>
      <c r="Y304" s="194"/>
    </row>
    <row r="305" spans="1:25" ht="21.95" customHeight="1" x14ac:dyDescent="0.2">
      <c r="A305" s="440" t="s">
        <v>3919</v>
      </c>
      <c r="B305" s="282">
        <v>20</v>
      </c>
      <c r="C305" s="281"/>
      <c r="D305" s="281"/>
      <c r="E305" s="281"/>
      <c r="F305" s="281"/>
      <c r="G305" s="281"/>
      <c r="H305" s="215"/>
      <c r="I305" s="455"/>
      <c r="J305" s="455"/>
      <c r="K305" s="455"/>
      <c r="L305" s="455"/>
      <c r="M305" s="455"/>
      <c r="N305" s="455"/>
      <c r="O305" s="455"/>
      <c r="P305" s="455"/>
      <c r="Q305" s="455"/>
      <c r="R305" s="455"/>
      <c r="S305" s="455"/>
      <c r="T305" s="455"/>
      <c r="U305" s="455"/>
      <c r="V305" s="455"/>
      <c r="W305" s="455"/>
      <c r="X305" s="153"/>
      <c r="Y305" s="194"/>
    </row>
    <row r="306" spans="1:25" ht="21.95" customHeight="1" x14ac:dyDescent="0.2">
      <c r="A306" s="440" t="s">
        <v>3920</v>
      </c>
      <c r="B306" s="282">
        <f ca="1">DATA_SCORE_TRGT_FINAL</f>
        <v>0</v>
      </c>
      <c r="C306" s="281"/>
      <c r="D306" s="281"/>
      <c r="E306" s="281"/>
      <c r="F306" s="281"/>
      <c r="G306" s="281"/>
      <c r="H306" s="215"/>
      <c r="I306" s="455"/>
      <c r="J306" s="455"/>
      <c r="K306" s="455"/>
      <c r="L306" s="455"/>
      <c r="M306" s="455"/>
      <c r="N306" s="455"/>
      <c r="O306" s="455"/>
      <c r="P306" s="455"/>
      <c r="Q306" s="455"/>
      <c r="R306" s="455"/>
      <c r="S306" s="455"/>
      <c r="T306" s="455"/>
      <c r="U306" s="455"/>
      <c r="V306" s="455"/>
      <c r="W306" s="455"/>
      <c r="X306" s="153"/>
      <c r="Y306" s="194"/>
    </row>
    <row r="307" spans="1:25" ht="21.95" customHeight="1" x14ac:dyDescent="0.2">
      <c r="A307" s="440" t="s">
        <v>3921</v>
      </c>
      <c r="B307" s="282" t="str">
        <f>SUBSTITUTE(CONFIG_POINT_HEADER_TEMPLATE,"[MAX]",B305)</f>
        <v>(Maximum Points: 20)</v>
      </c>
      <c r="C307" s="281"/>
      <c r="D307" s="281"/>
      <c r="E307" s="281"/>
      <c r="F307" s="281"/>
      <c r="G307" s="281"/>
      <c r="H307" s="215"/>
      <c r="I307" s="455"/>
      <c r="J307" s="455"/>
      <c r="K307" s="455"/>
      <c r="L307" s="455"/>
      <c r="M307" s="455"/>
      <c r="N307" s="455"/>
      <c r="O307" s="455"/>
      <c r="P307" s="455"/>
      <c r="Q307" s="455"/>
      <c r="R307" s="455"/>
      <c r="S307" s="455"/>
      <c r="T307" s="455"/>
      <c r="U307" s="455"/>
      <c r="V307" s="455"/>
      <c r="W307" s="455"/>
      <c r="X307" s="153"/>
      <c r="Y307" s="194"/>
    </row>
    <row r="308" spans="1:25" ht="21.95" customHeight="1" x14ac:dyDescent="0.2">
      <c r="A308" s="440" t="s">
        <v>3922</v>
      </c>
      <c r="B308" s="441" t="str">
        <f ca="1">SUBSTITUTE(CONFIG_SCORE_SUBHEADER_TEMPLATE,"[SCORE]",ROUND(B306,2))</f>
        <v>Estimated Score: 0</v>
      </c>
      <c r="C308" s="281"/>
      <c r="D308" s="281"/>
      <c r="E308" s="281"/>
      <c r="F308" s="281"/>
      <c r="G308" s="281"/>
      <c r="H308" s="215"/>
      <c r="I308" s="455"/>
      <c r="J308" s="455"/>
      <c r="K308" s="455"/>
      <c r="L308" s="455"/>
      <c r="M308" s="455"/>
      <c r="N308" s="455"/>
      <c r="O308" s="455"/>
      <c r="P308" s="455"/>
      <c r="Q308" s="455"/>
      <c r="R308" s="455"/>
      <c r="S308" s="455"/>
      <c r="T308" s="455"/>
      <c r="U308" s="455"/>
      <c r="V308" s="455"/>
      <c r="W308" s="455"/>
      <c r="X308" s="153"/>
      <c r="Y308" s="194"/>
    </row>
    <row r="309" spans="1:25" ht="21.95" customHeight="1" x14ac:dyDescent="0.2">
      <c r="A309" s="285" t="s">
        <v>332</v>
      </c>
      <c r="B309" s="305" t="str">
        <f>C309&amp;" "&amp;B347</f>
        <v>Use of Donated or Conveyed Government-owned or Other Properties (Maximum Points: 5)</v>
      </c>
      <c r="C309" s="287" t="s">
        <v>3827</v>
      </c>
      <c r="D309" s="287"/>
      <c r="E309" s="287"/>
      <c r="F309" s="287"/>
      <c r="G309" s="172" t="str">
        <f>B341</f>
        <v>Donated or Conveyed Property</v>
      </c>
      <c r="H309" s="215"/>
      <c r="I309" s="455"/>
      <c r="J309" s="455"/>
      <c r="K309" s="455"/>
      <c r="L309" s="455"/>
      <c r="M309" s="455"/>
      <c r="N309" s="455"/>
      <c r="O309" s="455"/>
      <c r="P309" s="455"/>
      <c r="Q309" s="455"/>
      <c r="R309" s="455"/>
      <c r="S309" s="455"/>
      <c r="T309" s="455"/>
      <c r="U309" s="455"/>
      <c r="V309" s="455"/>
      <c r="W309" s="455"/>
      <c r="X309" s="153"/>
      <c r="Y309" s="194"/>
    </row>
    <row r="310" spans="1:25" ht="21.95" customHeight="1" x14ac:dyDescent="0.2">
      <c r="A310" s="273" t="s">
        <v>2772</v>
      </c>
      <c r="B310" s="288" t="str">
        <f>IF($W$515&lt;&gt;"",$W$515,"")</f>
        <v/>
      </c>
      <c r="C310" s="281">
        <f ca="1">VLOOKUP(A310,DB_TBL_DATA_FIELDS[[FIELD_ID]:[PCT_CALC_FIELD_STATUS_CODE]],22,FALSE)</f>
        <v>1</v>
      </c>
      <c r="D310" s="281" t="str">
        <f ca="1">IF(VLOOKUP(A310,DB_TBL_DATA_FIELDS[[FIELD_ID]:[ERROR_MESSAGE]],23,FALSE)&lt;&gt;0,VLOOKUP(A310,DB_TBL_DATA_FIELDS[[FIELD_ID]:[ERROR_MESSAGE]],23,FALSE),"")</f>
        <v/>
      </c>
      <c r="E310" s="281">
        <f>VLOOKUP(A310,DB_TBL_DATA_FIELDS[[#All],[FIELD_ID]:[RANGE_VALIDATION_MAX]],18,FALSE)</f>
        <v>0</v>
      </c>
      <c r="F310" s="281">
        <f>VLOOKUP(A310,DB_TBL_DATA_FIELDS[[#All],[FIELD_ID]:[RANGE_VALIDATION_MAX]],19,FALSE)</f>
        <v>999999999999</v>
      </c>
      <c r="G310" s="281">
        <f ca="1">IF(C310&lt;0,"",C310)</f>
        <v>1</v>
      </c>
      <c r="H310" s="215"/>
      <c r="I310" s="455"/>
      <c r="J310" s="455"/>
      <c r="K310" s="455"/>
      <c r="L310" s="455"/>
      <c r="M310" s="455"/>
      <c r="N310" s="455"/>
      <c r="O310" s="455"/>
      <c r="P310" s="455"/>
      <c r="Q310" s="455"/>
      <c r="R310" s="455"/>
      <c r="S310" s="455"/>
      <c r="T310" s="455"/>
      <c r="U310" s="455"/>
      <c r="V310" s="455"/>
      <c r="W310" s="455"/>
      <c r="X310" s="153"/>
      <c r="Y310" s="194"/>
    </row>
    <row r="311" spans="1:25" ht="21.95" customHeight="1" x14ac:dyDescent="0.2">
      <c r="A311" s="273" t="s">
        <v>2773</v>
      </c>
      <c r="B311" s="288" t="str">
        <f>IF(I518&lt;&gt;"",I518,"")</f>
        <v/>
      </c>
      <c r="C311" s="281">
        <f ca="1">VLOOKUP(A311,DB_TBL_DATA_FIELDS[[FIELD_ID]:[PCT_CALC_FIELD_STATUS_CODE]],22,FALSE)</f>
        <v>-1</v>
      </c>
      <c r="D311" s="281" t="str">
        <f>IF(VLOOKUP(A311,DB_TBL_DATA_FIELDS[[FIELD_ID]:[ERROR_MESSAGE]],23,FALSE)&lt;&gt;0,VLOOKUP(A311,DB_TBL_DATA_FIELDS[[FIELD_ID]:[ERROR_MESSAGE]],23,FALSE),"")</f>
        <v/>
      </c>
      <c r="E311" s="281">
        <f>VLOOKUP(A311,DB_TBL_DATA_FIELDS[[#All],[FIELD_ID]:[RANGE_VALIDATION_MAX]],18,FALSE)</f>
        <v>0</v>
      </c>
      <c r="F311" s="281">
        <f>VLOOKUP(A311,DB_TBL_DATA_FIELDS[[#All],[FIELD_ID]:[RANGE_VALIDATION_MAX]],19,FALSE)</f>
        <v>32767</v>
      </c>
      <c r="G311" s="281" t="str">
        <f t="shared" ref="G311:G333" ca="1" si="48">IF(C311&lt;0,"",C311)</f>
        <v/>
      </c>
      <c r="H311" s="215"/>
      <c r="I311" s="455"/>
      <c r="J311" s="455"/>
      <c r="K311" s="455"/>
      <c r="L311" s="455"/>
      <c r="M311" s="455"/>
      <c r="N311" s="455"/>
      <c r="O311" s="455"/>
      <c r="P311" s="455"/>
      <c r="Q311" s="455"/>
      <c r="R311" s="455"/>
      <c r="S311" s="455"/>
      <c r="T311" s="455"/>
      <c r="U311" s="455"/>
      <c r="V311" s="455"/>
      <c r="W311" s="455"/>
      <c r="X311" s="153"/>
      <c r="Y311" s="194"/>
    </row>
    <row r="312" spans="1:25" ht="21.95" customHeight="1" x14ac:dyDescent="0.2">
      <c r="A312" s="273" t="s">
        <v>2774</v>
      </c>
      <c r="B312" s="288" t="str">
        <f>IF(I520&lt;&gt;"",I520,"")</f>
        <v/>
      </c>
      <c r="C312" s="281">
        <f ca="1">VLOOKUP(A312,DB_TBL_DATA_FIELDS[[FIELD_ID]:[PCT_CALC_FIELD_STATUS_CODE]],22,FALSE)</f>
        <v>-1</v>
      </c>
      <c r="D312" s="281" t="str">
        <f>IF(VLOOKUP(A312,DB_TBL_DATA_FIELDS[[FIELD_ID]:[ERROR_MESSAGE]],23,FALSE)&lt;&gt;0,VLOOKUP(A312,DB_TBL_DATA_FIELDS[[FIELD_ID]:[ERROR_MESSAGE]],23,FALSE),"")</f>
        <v/>
      </c>
      <c r="E312" s="281">
        <f>VLOOKUP(A312,DB_TBL_DATA_FIELDS[[#All],[FIELD_ID]:[RANGE_VALIDATION_MAX]],18,FALSE)</f>
        <v>0</v>
      </c>
      <c r="F312" s="281">
        <f>VLOOKUP(A312,DB_TBL_DATA_FIELDS[[#All],[FIELD_ID]:[RANGE_VALIDATION_MAX]],19,FALSE)</f>
        <v>32767</v>
      </c>
      <c r="G312" s="281" t="str">
        <f t="shared" ca="1" si="48"/>
        <v/>
      </c>
      <c r="H312" s="215"/>
      <c r="I312" s="389" t="s">
        <v>3744</v>
      </c>
      <c r="J312" s="153"/>
      <c r="K312" s="194"/>
      <c r="L312" s="153"/>
      <c r="M312" s="194"/>
      <c r="N312" s="153"/>
      <c r="O312" s="194"/>
      <c r="P312" s="153"/>
      <c r="Q312" s="194"/>
      <c r="R312" s="153"/>
      <c r="S312" s="194"/>
      <c r="T312" s="153"/>
      <c r="U312" s="194"/>
      <c r="V312" s="153"/>
      <c r="W312" s="380"/>
      <c r="X312" s="165">
        <f ca="1">G222</f>
        <v>1</v>
      </c>
      <c r="Y312" s="194"/>
    </row>
    <row r="313" spans="1:25" ht="21.95" customHeight="1" x14ac:dyDescent="0.2">
      <c r="A313" s="273" t="s">
        <v>2775</v>
      </c>
      <c r="B313" s="288" t="str">
        <f>IF(S520&lt;&gt;"",S520,"")</f>
        <v/>
      </c>
      <c r="C313" s="281">
        <f ca="1">VLOOKUP(A313,DB_TBL_DATA_FIELDS[[FIELD_ID]:[PCT_CALC_FIELD_STATUS_CODE]],22,FALSE)</f>
        <v>-1</v>
      </c>
      <c r="D313" s="281" t="str">
        <f>IF(VLOOKUP(A313,DB_TBL_DATA_FIELDS[[FIELD_ID]:[ERROR_MESSAGE]],23,FALSE)&lt;&gt;0,VLOOKUP(A313,DB_TBL_DATA_FIELDS[[FIELD_ID]:[ERROR_MESSAGE]],23,FALSE),"")</f>
        <v/>
      </c>
      <c r="E313" s="281">
        <f>VLOOKUP(A313,DB_TBL_DATA_FIELDS[[#All],[FIELD_ID]:[RANGE_VALIDATION_MAX]],18,FALSE)</f>
        <v>0</v>
      </c>
      <c r="F313" s="281">
        <f>VLOOKUP(A313,DB_TBL_DATA_FIELDS[[#All],[FIELD_ID]:[RANGE_VALIDATION_MAX]],19,FALSE)</f>
        <v>999999999999</v>
      </c>
      <c r="G313" s="281" t="str">
        <f t="shared" ca="1" si="48"/>
        <v/>
      </c>
      <c r="H313" s="215"/>
      <c r="I313" s="225"/>
      <c r="J313" s="360"/>
      <c r="K313" s="360"/>
      <c r="L313" s="360"/>
      <c r="M313" s="360"/>
      <c r="N313" s="360"/>
      <c r="O313" s="360"/>
      <c r="P313" s="360"/>
      <c r="Q313" s="360"/>
      <c r="R313" s="360"/>
      <c r="S313" s="360"/>
      <c r="T313" s="360"/>
      <c r="U313" s="360"/>
      <c r="V313" s="360"/>
      <c r="W313" s="360"/>
      <c r="X313" s="153"/>
      <c r="Y313" s="194"/>
    </row>
    <row r="314" spans="1:25" ht="21.95" customHeight="1" x14ac:dyDescent="0.2">
      <c r="A314" s="273" t="s">
        <v>2776</v>
      </c>
      <c r="B314" s="288" t="str">
        <f>IF(S518&lt;&gt;"",S518,"")</f>
        <v/>
      </c>
      <c r="C314" s="281">
        <f ca="1">VLOOKUP(A314,DB_TBL_DATA_FIELDS[[FIELD_ID]:[PCT_CALC_FIELD_STATUS_CODE]],22,FALSE)</f>
        <v>-1</v>
      </c>
      <c r="D314" s="281" t="str">
        <f>IF(VLOOKUP(A314,DB_TBL_DATA_FIELDS[[FIELD_ID]:[ERROR_MESSAGE]],23,FALSE)&lt;&gt;0,VLOOKUP(A314,DB_TBL_DATA_FIELDS[[FIELD_ID]:[ERROR_MESSAGE]],23,FALSE),"")</f>
        <v/>
      </c>
      <c r="E314" s="281">
        <f>VLOOKUP(A314,DB_TBL_DATA_FIELDS[[#All],[FIELD_ID]:[RANGE_VALIDATION_MAX]],18,FALSE)</f>
        <v>0</v>
      </c>
      <c r="F314" s="281">
        <f>VLOOKUP(A314,DB_TBL_DATA_FIELDS[[#All],[FIELD_ID]:[RANGE_VALIDATION_MAX]],19,FALSE)</f>
        <v>999999999999</v>
      </c>
      <c r="G314" s="281" t="str">
        <f t="shared" ca="1" si="48"/>
        <v/>
      </c>
      <c r="H314" s="215"/>
      <c r="I314" s="225" t="s">
        <v>3542</v>
      </c>
      <c r="J314" s="360"/>
      <c r="K314" s="360"/>
      <c r="L314" s="360"/>
      <c r="M314" s="360"/>
      <c r="N314" s="360"/>
      <c r="O314" s="360"/>
      <c r="P314" s="360"/>
      <c r="Q314" s="360"/>
      <c r="R314" s="360"/>
      <c r="S314" s="360"/>
      <c r="T314" s="360"/>
      <c r="U314" s="360"/>
      <c r="V314" s="360"/>
      <c r="W314" s="360"/>
      <c r="X314" s="153"/>
      <c r="Y314" s="194"/>
    </row>
    <row r="315" spans="1:25" ht="21.95" customHeight="1" x14ac:dyDescent="0.2">
      <c r="A315" s="273" t="s">
        <v>2777</v>
      </c>
      <c r="B315" s="288" t="str">
        <f>IF(W524&lt;&gt;"",W524,"")</f>
        <v/>
      </c>
      <c r="C315" s="281">
        <f ca="1">VLOOKUP(A315,DB_TBL_DATA_FIELDS[[FIELD_ID]:[PCT_CALC_FIELD_STATUS_CODE]],22,FALSE)</f>
        <v>1</v>
      </c>
      <c r="D315" s="281" t="str">
        <f ca="1">IF(VLOOKUP(A315,DB_TBL_DATA_FIELDS[[FIELD_ID]:[ERROR_MESSAGE]],23,FALSE)&lt;&gt;0,VLOOKUP(A315,DB_TBL_DATA_FIELDS[[FIELD_ID]:[ERROR_MESSAGE]],23,FALSE),"")</f>
        <v/>
      </c>
      <c r="E315" s="281">
        <f>VLOOKUP(A315,DB_TBL_DATA_FIELDS[[#All],[FIELD_ID]:[RANGE_VALIDATION_MAX]],18,FALSE)</f>
        <v>0</v>
      </c>
      <c r="F315" s="281">
        <f>VLOOKUP(A315,DB_TBL_DATA_FIELDS[[#All],[FIELD_ID]:[RANGE_VALIDATION_MAX]],19,FALSE)</f>
        <v>999999999999</v>
      </c>
      <c r="G315" s="281">
        <f t="shared" ca="1" si="48"/>
        <v>1</v>
      </c>
      <c r="H315" s="215"/>
      <c r="I315" s="346" t="s">
        <v>3543</v>
      </c>
      <c r="J315" s="343"/>
      <c r="K315" s="343"/>
      <c r="L315" s="343"/>
      <c r="M315" s="343"/>
      <c r="N315" s="343"/>
      <c r="O315" s="343"/>
      <c r="P315" s="343"/>
      <c r="Q315" s="343"/>
      <c r="R315" s="343"/>
      <c r="S315" s="343"/>
      <c r="T315" s="343"/>
      <c r="U315" s="343"/>
      <c r="V315" s="343"/>
      <c r="W315" s="175" t="str">
        <f>SUBSTITUTE(SUBSTITUTE(SUBSTITUTE(IF(LEN(B223)&gt;F223,CONFIG_CHAR_LIMIT_TEMPLATE_ERR,CONFIG_CHAR_LIMIT_TEMPLATE),"[diff]",ABS(LEN(B223)-F223)),"[limit]",F223),"[used]",LEN(B223))</f>
        <v>1500 character(s) remaining</v>
      </c>
      <c r="X315" s="153"/>
      <c r="Y315" s="194"/>
    </row>
    <row r="316" spans="1:25" ht="21.95" customHeight="1" x14ac:dyDescent="0.2">
      <c r="A316" s="273" t="s">
        <v>2778</v>
      </c>
      <c r="B316" s="288" t="str">
        <f>IF(I527&lt;&gt;"",I527,"")</f>
        <v/>
      </c>
      <c r="C316" s="281">
        <f ca="1">VLOOKUP(A316,DB_TBL_DATA_FIELDS[[FIELD_ID]:[PCT_CALC_FIELD_STATUS_CODE]],22,FALSE)</f>
        <v>-1</v>
      </c>
      <c r="D316" s="281" t="str">
        <f>IF(VLOOKUP(A316,DB_TBL_DATA_FIELDS[[FIELD_ID]:[ERROR_MESSAGE]],23,FALSE)&lt;&gt;0,VLOOKUP(A316,DB_TBL_DATA_FIELDS[[FIELD_ID]:[ERROR_MESSAGE]],23,FALSE),"")</f>
        <v/>
      </c>
      <c r="E316" s="281">
        <f>VLOOKUP(A316,DB_TBL_DATA_FIELDS[[#All],[FIELD_ID]:[RANGE_VALIDATION_MAX]],18,FALSE)</f>
        <v>0</v>
      </c>
      <c r="F316" s="281">
        <f>VLOOKUP(A316,DB_TBL_DATA_FIELDS[[#All],[FIELD_ID]:[RANGE_VALIDATION_MAX]],19,FALSE)</f>
        <v>32767</v>
      </c>
      <c r="G316" s="281" t="str">
        <f t="shared" ca="1" si="48"/>
        <v/>
      </c>
      <c r="H316" s="215"/>
      <c r="I316" s="500"/>
      <c r="J316" s="501"/>
      <c r="K316" s="501"/>
      <c r="L316" s="501"/>
      <c r="M316" s="501"/>
      <c r="N316" s="501"/>
      <c r="O316" s="501"/>
      <c r="P316" s="501"/>
      <c r="Q316" s="501"/>
      <c r="R316" s="501"/>
      <c r="S316" s="501"/>
      <c r="T316" s="501"/>
      <c r="U316" s="501"/>
      <c r="V316" s="501"/>
      <c r="W316" s="502"/>
      <c r="X316" s="165">
        <f ca="1">G223</f>
        <v>1</v>
      </c>
      <c r="Y316" s="194"/>
    </row>
    <row r="317" spans="1:25" ht="21.95" customHeight="1" x14ac:dyDescent="0.2">
      <c r="A317" s="273" t="s">
        <v>2779</v>
      </c>
      <c r="B317" s="288" t="str">
        <f>IF(I529&lt;&gt;"",I529,"")</f>
        <v/>
      </c>
      <c r="C317" s="281">
        <f ca="1">VLOOKUP(A317,DB_TBL_DATA_FIELDS[[FIELD_ID]:[PCT_CALC_FIELD_STATUS_CODE]],22,FALSE)</f>
        <v>-1</v>
      </c>
      <c r="D317" s="281" t="str">
        <f>IF(VLOOKUP(A317,DB_TBL_DATA_FIELDS[[FIELD_ID]:[ERROR_MESSAGE]],23,FALSE)&lt;&gt;0,VLOOKUP(A317,DB_TBL_DATA_FIELDS[[FIELD_ID]:[ERROR_MESSAGE]],23,FALSE),"")</f>
        <v/>
      </c>
      <c r="E317" s="281">
        <f>VLOOKUP(A317,DB_TBL_DATA_FIELDS[[#All],[FIELD_ID]:[RANGE_VALIDATION_MAX]],18,FALSE)</f>
        <v>0</v>
      </c>
      <c r="F317" s="281">
        <f>VLOOKUP(A317,DB_TBL_DATA_FIELDS[[#All],[FIELD_ID]:[RANGE_VALIDATION_MAX]],19,FALSE)</f>
        <v>32767</v>
      </c>
      <c r="G317" s="281" t="str">
        <f t="shared" ca="1" si="48"/>
        <v/>
      </c>
      <c r="H317" s="215"/>
      <c r="I317" s="503"/>
      <c r="J317" s="504"/>
      <c r="K317" s="504"/>
      <c r="L317" s="504"/>
      <c r="M317" s="504"/>
      <c r="N317" s="504"/>
      <c r="O317" s="504"/>
      <c r="P317" s="504"/>
      <c r="Q317" s="504"/>
      <c r="R317" s="504"/>
      <c r="S317" s="504"/>
      <c r="T317" s="504"/>
      <c r="U317" s="504"/>
      <c r="V317" s="504"/>
      <c r="W317" s="505"/>
      <c r="X317" s="153"/>
      <c r="Y317" s="194"/>
    </row>
    <row r="318" spans="1:25" ht="21.95" customHeight="1" x14ac:dyDescent="0.2">
      <c r="A318" s="273" t="s">
        <v>2780</v>
      </c>
      <c r="B318" s="288" t="str">
        <f>IF(S529&lt;&gt;"",S529,"")</f>
        <v/>
      </c>
      <c r="C318" s="281">
        <f ca="1">VLOOKUP(A318,DB_TBL_DATA_FIELDS[[FIELD_ID]:[PCT_CALC_FIELD_STATUS_CODE]],22,FALSE)</f>
        <v>-1</v>
      </c>
      <c r="D318" s="281" t="str">
        <f>IF(VLOOKUP(A318,DB_TBL_DATA_FIELDS[[FIELD_ID]:[ERROR_MESSAGE]],23,FALSE)&lt;&gt;0,VLOOKUP(A318,DB_TBL_DATA_FIELDS[[FIELD_ID]:[ERROR_MESSAGE]],23,FALSE),"")</f>
        <v/>
      </c>
      <c r="E318" s="281">
        <f>VLOOKUP(A318,DB_TBL_DATA_FIELDS[[#All],[FIELD_ID]:[RANGE_VALIDATION_MAX]],18,FALSE)</f>
        <v>0</v>
      </c>
      <c r="F318" s="281">
        <f>VLOOKUP(A318,DB_TBL_DATA_FIELDS[[#All],[FIELD_ID]:[RANGE_VALIDATION_MAX]],19,FALSE)</f>
        <v>999999999999</v>
      </c>
      <c r="G318" s="281" t="str">
        <f t="shared" ca="1" si="48"/>
        <v/>
      </c>
      <c r="H318" s="215"/>
      <c r="I318" s="503"/>
      <c r="J318" s="504"/>
      <c r="K318" s="504"/>
      <c r="L318" s="504"/>
      <c r="M318" s="504"/>
      <c r="N318" s="504"/>
      <c r="O318" s="504"/>
      <c r="P318" s="504"/>
      <c r="Q318" s="504"/>
      <c r="R318" s="504"/>
      <c r="S318" s="504"/>
      <c r="T318" s="504"/>
      <c r="U318" s="504"/>
      <c r="V318" s="504"/>
      <c r="W318" s="505"/>
      <c r="X318" s="153"/>
      <c r="Y318" s="194"/>
    </row>
    <row r="319" spans="1:25" ht="21.95" customHeight="1" x14ac:dyDescent="0.2">
      <c r="A319" s="273" t="s">
        <v>2781</v>
      </c>
      <c r="B319" s="288" t="str">
        <f>IF(S527&lt;&gt;"",S527,"")</f>
        <v/>
      </c>
      <c r="C319" s="281">
        <f ca="1">VLOOKUP(A319,DB_TBL_DATA_FIELDS[[FIELD_ID]:[PCT_CALC_FIELD_STATUS_CODE]],22,FALSE)</f>
        <v>-1</v>
      </c>
      <c r="D319" s="281" t="str">
        <f>IF(VLOOKUP(A319,DB_TBL_DATA_FIELDS[[FIELD_ID]:[ERROR_MESSAGE]],23,FALSE)&lt;&gt;0,VLOOKUP(A319,DB_TBL_DATA_FIELDS[[FIELD_ID]:[ERROR_MESSAGE]],23,FALSE),"")</f>
        <v/>
      </c>
      <c r="E319" s="281">
        <f>VLOOKUP(A319,DB_TBL_DATA_FIELDS[[#All],[FIELD_ID]:[RANGE_VALIDATION_MAX]],18,FALSE)</f>
        <v>0</v>
      </c>
      <c r="F319" s="281">
        <f>VLOOKUP(A319,DB_TBL_DATA_FIELDS[[#All],[FIELD_ID]:[RANGE_VALIDATION_MAX]],19,FALSE)</f>
        <v>999999999999</v>
      </c>
      <c r="G319" s="281" t="str">
        <f t="shared" ca="1" si="48"/>
        <v/>
      </c>
      <c r="H319" s="215"/>
      <c r="I319" s="503"/>
      <c r="J319" s="504"/>
      <c r="K319" s="504"/>
      <c r="L319" s="504"/>
      <c r="M319" s="504"/>
      <c r="N319" s="504"/>
      <c r="O319" s="504"/>
      <c r="P319" s="504"/>
      <c r="Q319" s="504"/>
      <c r="R319" s="504"/>
      <c r="S319" s="504"/>
      <c r="T319" s="504"/>
      <c r="U319" s="504"/>
      <c r="V319" s="504"/>
      <c r="W319" s="505"/>
      <c r="X319" s="153"/>
      <c r="Y319" s="194"/>
    </row>
    <row r="320" spans="1:25" ht="21.95" customHeight="1" x14ac:dyDescent="0.2">
      <c r="A320" s="273" t="s">
        <v>2782</v>
      </c>
      <c r="B320" s="288" t="str">
        <f>IF(W533&lt;&gt;"",W533,"")</f>
        <v/>
      </c>
      <c r="C320" s="281">
        <f ca="1">VLOOKUP(A320,DB_TBL_DATA_FIELDS[[FIELD_ID]:[PCT_CALC_FIELD_STATUS_CODE]],22,FALSE)</f>
        <v>1</v>
      </c>
      <c r="D320" s="281" t="str">
        <f ca="1">IF(VLOOKUP(A320,DB_TBL_DATA_FIELDS[[FIELD_ID]:[ERROR_MESSAGE]],23,FALSE)&lt;&gt;0,VLOOKUP(A320,DB_TBL_DATA_FIELDS[[FIELD_ID]:[ERROR_MESSAGE]],23,FALSE),"")</f>
        <v/>
      </c>
      <c r="E320" s="281">
        <f>VLOOKUP(A320,DB_TBL_DATA_FIELDS[[#All],[FIELD_ID]:[RANGE_VALIDATION_MAX]],18,FALSE)</f>
        <v>0</v>
      </c>
      <c r="F320" s="281">
        <f>VLOOKUP(A320,DB_TBL_DATA_FIELDS[[#All],[FIELD_ID]:[RANGE_VALIDATION_MAX]],19,FALSE)</f>
        <v>999999999999</v>
      </c>
      <c r="G320" s="281">
        <f t="shared" ca="1" si="48"/>
        <v>1</v>
      </c>
      <c r="H320" s="215"/>
      <c r="I320" s="503"/>
      <c r="J320" s="504"/>
      <c r="K320" s="504"/>
      <c r="L320" s="504"/>
      <c r="M320" s="504"/>
      <c r="N320" s="504"/>
      <c r="O320" s="504"/>
      <c r="P320" s="504"/>
      <c r="Q320" s="504"/>
      <c r="R320" s="504"/>
      <c r="S320" s="504"/>
      <c r="T320" s="504"/>
      <c r="U320" s="504"/>
      <c r="V320" s="504"/>
      <c r="W320" s="505"/>
      <c r="X320" s="153"/>
      <c r="Y320" s="194"/>
    </row>
    <row r="321" spans="1:25" ht="20.100000000000001" customHeight="1" x14ac:dyDescent="0.2">
      <c r="A321" s="273" t="s">
        <v>2783</v>
      </c>
      <c r="B321" s="288" t="str">
        <f>IF(I536&lt;&gt;"",I536,"")</f>
        <v/>
      </c>
      <c r="C321" s="281">
        <f ca="1">VLOOKUP(A321,DB_TBL_DATA_FIELDS[[FIELD_ID]:[PCT_CALC_FIELD_STATUS_CODE]],22,FALSE)</f>
        <v>-1</v>
      </c>
      <c r="D321" s="281" t="str">
        <f>IF(VLOOKUP(A321,DB_TBL_DATA_FIELDS[[FIELD_ID]:[ERROR_MESSAGE]],23,FALSE)&lt;&gt;0,VLOOKUP(A321,DB_TBL_DATA_FIELDS[[FIELD_ID]:[ERROR_MESSAGE]],23,FALSE),"")</f>
        <v/>
      </c>
      <c r="E321" s="281">
        <f>VLOOKUP(A321,DB_TBL_DATA_FIELDS[[#All],[FIELD_ID]:[RANGE_VALIDATION_MAX]],18,FALSE)</f>
        <v>0</v>
      </c>
      <c r="F321" s="281">
        <f>VLOOKUP(A321,DB_TBL_DATA_FIELDS[[#All],[FIELD_ID]:[RANGE_VALIDATION_MAX]],19,FALSE)</f>
        <v>32767</v>
      </c>
      <c r="G321" s="281" t="str">
        <f t="shared" ca="1" si="48"/>
        <v/>
      </c>
      <c r="H321" s="215"/>
      <c r="I321" s="506"/>
      <c r="J321" s="507"/>
      <c r="K321" s="507"/>
      <c r="L321" s="507"/>
      <c r="M321" s="507"/>
      <c r="N321" s="507"/>
      <c r="O321" s="507"/>
      <c r="P321" s="507"/>
      <c r="Q321" s="507"/>
      <c r="R321" s="507"/>
      <c r="S321" s="507"/>
      <c r="T321" s="507"/>
      <c r="U321" s="507"/>
      <c r="V321" s="507"/>
      <c r="W321" s="508"/>
      <c r="X321" s="153"/>
      <c r="Y321" s="194"/>
    </row>
    <row r="322" spans="1:25" ht="33" customHeight="1" x14ac:dyDescent="0.2">
      <c r="A322" s="273" t="s">
        <v>2785</v>
      </c>
      <c r="B322" s="288" t="str">
        <f>IF(O538&lt;&gt;"",O538,"")</f>
        <v/>
      </c>
      <c r="C322" s="281">
        <f ca="1">VLOOKUP(A322,DB_TBL_DATA_FIELDS[[FIELD_ID]:[PCT_CALC_FIELD_STATUS_CODE]],22,FALSE)</f>
        <v>-1</v>
      </c>
      <c r="D322" s="281" t="str">
        <f>IF(VLOOKUP(A322,DB_TBL_DATA_FIELDS[[FIELD_ID]:[ERROR_MESSAGE]],23,FALSE)&lt;&gt;0,VLOOKUP(A322,DB_TBL_DATA_FIELDS[[FIELD_ID]:[ERROR_MESSAGE]],23,FALSE),"")</f>
        <v/>
      </c>
      <c r="E322" s="281">
        <f>VLOOKUP(A322,DB_TBL_DATA_FIELDS[[#All],[FIELD_ID]:[RANGE_VALIDATION_MAX]],18,FALSE)</f>
        <v>0</v>
      </c>
      <c r="F322" s="281">
        <f>VLOOKUP(A322,DB_TBL_DATA_FIELDS[[#All],[FIELD_ID]:[RANGE_VALIDATION_MAX]],19,FALSE)</f>
        <v>999999999999</v>
      </c>
      <c r="G322" s="281" t="str">
        <f t="shared" ca="1" si="48"/>
        <v/>
      </c>
      <c r="H322" s="215"/>
      <c r="I322" s="728" t="s">
        <v>3562</v>
      </c>
      <c r="J322" s="728"/>
      <c r="K322" s="728"/>
      <c r="L322" s="728"/>
      <c r="M322" s="728"/>
      <c r="N322" s="728"/>
      <c r="O322" s="728"/>
      <c r="P322" s="728"/>
      <c r="Q322" s="728"/>
      <c r="R322" s="728"/>
      <c r="S322" s="728"/>
      <c r="T322" s="728"/>
      <c r="U322" s="728"/>
      <c r="V322" s="728"/>
      <c r="W322" s="728"/>
      <c r="X322" s="153"/>
      <c r="Y322" s="194"/>
    </row>
    <row r="323" spans="1:25" ht="21.95" customHeight="1" x14ac:dyDescent="0.2">
      <c r="A323" s="273" t="s">
        <v>2784</v>
      </c>
      <c r="B323" s="296" t="str">
        <f ca="1">VLOOKUP(A323,'$DB.DATA'!D:H,5,FALSE)</f>
        <v/>
      </c>
      <c r="C323" s="281">
        <f ca="1">VLOOKUP(A323,DB_TBL_DATA_FIELDS[[FIELD_ID]:[PCT_CALC_FIELD_STATUS_CODE]],22,FALSE)</f>
        <v>-1</v>
      </c>
      <c r="D323" s="281" t="str">
        <f>IF(VLOOKUP(A323,DB_TBL_DATA_FIELDS[[FIELD_ID]:[ERROR_MESSAGE]],23,FALSE)&lt;&gt;0,VLOOKUP(A323,DB_TBL_DATA_FIELDS[[FIELD_ID]:[ERROR_MESSAGE]],23,FALSE),"")</f>
        <v/>
      </c>
      <c r="E323" s="281">
        <f>VLOOKUP(A323,DB_TBL_DATA_FIELDS[[#All],[FIELD_ID]:[RANGE_VALIDATION_MAX]],18,FALSE)</f>
        <v>0</v>
      </c>
      <c r="F323" s="281">
        <f>VLOOKUP(A323,DB_TBL_DATA_FIELDS[[#All],[FIELD_ID]:[RANGE_VALIDATION_MAX]],19,FALSE)</f>
        <v>1</v>
      </c>
      <c r="G323" s="281" t="str">
        <f t="shared" ca="1" si="48"/>
        <v/>
      </c>
      <c r="H323" s="215"/>
      <c r="I323" s="367" t="s">
        <v>3563</v>
      </c>
      <c r="J323" s="204"/>
      <c r="K323" s="204"/>
      <c r="L323" s="204"/>
      <c r="M323" s="204"/>
      <c r="N323" s="204"/>
      <c r="O323" s="204"/>
      <c r="P323" s="204"/>
      <c r="Q323" s="204"/>
      <c r="R323" s="204"/>
      <c r="S323" s="204"/>
      <c r="T323" s="204"/>
      <c r="U323" s="204"/>
      <c r="V323" s="204"/>
      <c r="W323" s="175" t="str">
        <f>SUBSTITUTE(SUBSTITUTE(SUBSTITUTE(IF(LEN(B224)&gt;F224,CONFIG_CHAR_LIMIT_TEMPLATE_ERR,CONFIG_CHAR_LIMIT_TEMPLATE),"[diff]",ABS(LEN(B224)-F224)),"[limit]",F224),"[used]",LEN(B224))</f>
        <v>2000 character(s) remaining</v>
      </c>
      <c r="X323" s="153"/>
      <c r="Y323" s="194"/>
    </row>
    <row r="324" spans="1:25" ht="21.95" customHeight="1" x14ac:dyDescent="0.2">
      <c r="A324" s="273" t="s">
        <v>2786</v>
      </c>
      <c r="B324" s="288" t="str">
        <f>IF(I538&lt;&gt;"",I538,"")</f>
        <v/>
      </c>
      <c r="C324" s="281">
        <f ca="1">VLOOKUP(A324,DB_TBL_DATA_FIELDS[[FIELD_ID]:[PCT_CALC_FIELD_STATUS_CODE]],22,FALSE)</f>
        <v>-1</v>
      </c>
      <c r="D324" s="281" t="str">
        <f>IF(VLOOKUP(A324,DB_TBL_DATA_FIELDS[[FIELD_ID]:[ERROR_MESSAGE]],23,FALSE)&lt;&gt;0,VLOOKUP(A324,DB_TBL_DATA_FIELDS[[FIELD_ID]:[ERROR_MESSAGE]],23,FALSE),"")</f>
        <v/>
      </c>
      <c r="E324" s="281">
        <f>VLOOKUP(A324,DB_TBL_DATA_FIELDS[[#All],[FIELD_ID]:[RANGE_VALIDATION_MAX]],18,FALSE)</f>
        <v>0</v>
      </c>
      <c r="F324" s="281">
        <f>VLOOKUP(A324,DB_TBL_DATA_FIELDS[[#All],[FIELD_ID]:[RANGE_VALIDATION_MAX]],19,FALSE)</f>
        <v>999999999999</v>
      </c>
      <c r="G324" s="281" t="str">
        <f t="shared" ca="1" si="48"/>
        <v/>
      </c>
      <c r="H324" s="215"/>
      <c r="I324" s="500"/>
      <c r="J324" s="501"/>
      <c r="K324" s="501"/>
      <c r="L324" s="501"/>
      <c r="M324" s="501"/>
      <c r="N324" s="501"/>
      <c r="O324" s="501"/>
      <c r="P324" s="501"/>
      <c r="Q324" s="501"/>
      <c r="R324" s="501"/>
      <c r="S324" s="501"/>
      <c r="T324" s="501"/>
      <c r="U324" s="501"/>
      <c r="V324" s="501"/>
      <c r="W324" s="502"/>
      <c r="X324" s="165">
        <f ca="1">G224</f>
        <v>1</v>
      </c>
      <c r="Y324" s="194"/>
    </row>
    <row r="325" spans="1:25" ht="21.95" customHeight="1" x14ac:dyDescent="0.2">
      <c r="A325" s="273" t="s">
        <v>2787</v>
      </c>
      <c r="B325" s="288" t="str">
        <f>IF(Q536&lt;&gt;"",Q536,"")</f>
        <v/>
      </c>
      <c r="C325" s="281">
        <f ca="1">VLOOKUP(A325,DB_TBL_DATA_FIELDS[[FIELD_ID]:[PCT_CALC_FIELD_STATUS_CODE]],22,FALSE)</f>
        <v>-1</v>
      </c>
      <c r="D325" s="281" t="str">
        <f>IF(VLOOKUP(A325,DB_TBL_DATA_FIELDS[[FIELD_ID]:[ERROR_MESSAGE]],23,FALSE)&lt;&gt;0,VLOOKUP(A325,DB_TBL_DATA_FIELDS[[FIELD_ID]:[ERROR_MESSAGE]],23,FALSE),"")</f>
        <v/>
      </c>
      <c r="E325" s="281">
        <f>VLOOKUP(A325,DB_TBL_DATA_FIELDS[[#All],[FIELD_ID]:[RANGE_VALIDATION_MAX]],18,FALSE)</f>
        <v>0</v>
      </c>
      <c r="F325" s="281">
        <f>VLOOKUP(A325,DB_TBL_DATA_FIELDS[[#All],[FIELD_ID]:[RANGE_VALIDATION_MAX]],19,FALSE)</f>
        <v>32767</v>
      </c>
      <c r="G325" s="281" t="str">
        <f t="shared" ca="1" si="48"/>
        <v/>
      </c>
      <c r="H325" s="215"/>
      <c r="I325" s="503"/>
      <c r="J325" s="504"/>
      <c r="K325" s="504"/>
      <c r="L325" s="504"/>
      <c r="M325" s="504"/>
      <c r="N325" s="504"/>
      <c r="O325" s="504"/>
      <c r="P325" s="504"/>
      <c r="Q325" s="504"/>
      <c r="R325" s="504"/>
      <c r="S325" s="504"/>
      <c r="T325" s="504"/>
      <c r="U325" s="504"/>
      <c r="V325" s="504"/>
      <c r="W325" s="505"/>
      <c r="X325" s="153"/>
      <c r="Y325" s="194"/>
    </row>
    <row r="326" spans="1:25" ht="21.95" customHeight="1" x14ac:dyDescent="0.2">
      <c r="A326" s="273" t="s">
        <v>2788</v>
      </c>
      <c r="B326" s="288" t="str">
        <f>IF(U536&lt;&gt;"",U536,"")</f>
        <v/>
      </c>
      <c r="C326" s="281">
        <f ca="1">VLOOKUP(A326,DB_TBL_DATA_FIELDS[[FIELD_ID]:[PCT_CALC_FIELD_STATUS_CODE]],22,FALSE)</f>
        <v>-1</v>
      </c>
      <c r="D326" s="281" t="str">
        <f>IF(VLOOKUP(A326,DB_TBL_DATA_FIELDS[[FIELD_ID]:[ERROR_MESSAGE]],23,FALSE)&lt;&gt;0,VLOOKUP(A326,DB_TBL_DATA_FIELDS[[FIELD_ID]:[ERROR_MESSAGE]],23,FALSE),"")</f>
        <v/>
      </c>
      <c r="E326" s="281">
        <f>VLOOKUP(A326,DB_TBL_DATA_FIELDS[[#All],[FIELD_ID]:[RANGE_VALIDATION_MAX]],18,FALSE)</f>
        <v>0</v>
      </c>
      <c r="F326" s="281">
        <f>VLOOKUP(A326,DB_TBL_DATA_FIELDS[[#All],[FIELD_ID]:[RANGE_VALIDATION_MAX]],19,FALSE)</f>
        <v>32767</v>
      </c>
      <c r="G326" s="281" t="str">
        <f t="shared" ca="1" si="48"/>
        <v/>
      </c>
      <c r="H326" s="215"/>
      <c r="I326" s="503"/>
      <c r="J326" s="504"/>
      <c r="K326" s="504"/>
      <c r="L326" s="504"/>
      <c r="M326" s="504"/>
      <c r="N326" s="504"/>
      <c r="O326" s="504"/>
      <c r="P326" s="504"/>
      <c r="Q326" s="504"/>
      <c r="R326" s="504"/>
      <c r="S326" s="504"/>
      <c r="T326" s="504"/>
      <c r="U326" s="504"/>
      <c r="V326" s="504"/>
      <c r="W326" s="505"/>
      <c r="X326" s="153"/>
      <c r="Y326" s="194"/>
    </row>
    <row r="327" spans="1:25" ht="21.95" customHeight="1" x14ac:dyDescent="0.2">
      <c r="A327" s="273" t="s">
        <v>2859</v>
      </c>
      <c r="B327" s="296" t="str">
        <f ca="1">VLOOKUP(A327,'$DB.DATA'!D:H,5,FALSE)</f>
        <v/>
      </c>
      <c r="C327" s="281" t="str">
        <f ca="1">VLOOKUP(A327,DB_TBL_DATA_FIELDS[[FIELD_ID]:[PCT_CALC_FIELD_STATUS_CODE]],22,FALSE)</f>
        <v/>
      </c>
      <c r="D327" s="281" t="str">
        <f ca="1">IF(VLOOKUP(A327,DB_TBL_DATA_FIELDS[[FIELD_ID]:[ERROR_MESSAGE]],23,FALSE)&lt;&gt;0,VLOOKUP(A327,DB_TBL_DATA_FIELDS[[FIELD_ID]:[ERROR_MESSAGE]],23,FALSE),"")</f>
        <v/>
      </c>
      <c r="E327" s="281">
        <f>VLOOKUP(A327,DB_TBL_DATA_FIELDS[[#All],[FIELD_ID]:[RANGE_VALIDATION_MAX]],18,FALSE)</f>
        <v>0</v>
      </c>
      <c r="F327" s="281">
        <f>VLOOKUP(A327,DB_TBL_DATA_FIELDS[[#All],[FIELD_ID]:[RANGE_VALIDATION_MAX]],19,FALSE)</f>
        <v>1</v>
      </c>
      <c r="G327" s="281" t="str">
        <f t="shared" ref="G327" ca="1" si="49">IF(C327&lt;0,"",C327)</f>
        <v/>
      </c>
      <c r="H327" s="215"/>
      <c r="I327" s="503"/>
      <c r="J327" s="504"/>
      <c r="K327" s="504"/>
      <c r="L327" s="504"/>
      <c r="M327" s="504"/>
      <c r="N327" s="504"/>
      <c r="O327" s="504"/>
      <c r="P327" s="504"/>
      <c r="Q327" s="504"/>
      <c r="R327" s="504"/>
      <c r="S327" s="504"/>
      <c r="T327" s="504"/>
      <c r="U327" s="504"/>
      <c r="V327" s="504"/>
      <c r="W327" s="505"/>
      <c r="X327" s="153"/>
      <c r="Y327" s="194"/>
    </row>
    <row r="328" spans="1:25" ht="21.95" customHeight="1" x14ac:dyDescent="0.2">
      <c r="A328" s="273" t="s">
        <v>2789</v>
      </c>
      <c r="B328" s="288" t="str">
        <f>IF(W545="","",IF(UPPER(W545)="YES",TRUE,FALSE))</f>
        <v/>
      </c>
      <c r="C328" s="281">
        <f ca="1">VLOOKUP(A328,DB_TBL_DATA_FIELDS[[FIELD_ID]:[PCT_CALC_FIELD_STATUS_CODE]],22,FALSE)</f>
        <v>-1</v>
      </c>
      <c r="D328" s="281" t="str">
        <f>IF(VLOOKUP(A328,DB_TBL_DATA_FIELDS[[FIELD_ID]:[ERROR_MESSAGE]],23,FALSE)&lt;&gt;0,VLOOKUP(A328,DB_TBL_DATA_FIELDS[[FIELD_ID]:[ERROR_MESSAGE]],23,FALSE),"")</f>
        <v/>
      </c>
      <c r="E328" s="281">
        <f>VLOOKUP(A328,DB_TBL_DATA_FIELDS[[#All],[FIELD_ID]:[RANGE_VALIDATION_MAX]],18,FALSE)</f>
        <v>0</v>
      </c>
      <c r="F328" s="281">
        <f>VLOOKUP(A328,DB_TBL_DATA_FIELDS[[#All],[FIELD_ID]:[RANGE_VALIDATION_MAX]],19,FALSE)</f>
        <v>1</v>
      </c>
      <c r="G328" s="281" t="str">
        <f t="shared" ca="1" si="48"/>
        <v/>
      </c>
      <c r="H328" s="215"/>
      <c r="I328" s="503"/>
      <c r="J328" s="504"/>
      <c r="K328" s="504"/>
      <c r="L328" s="504"/>
      <c r="M328" s="504"/>
      <c r="N328" s="504"/>
      <c r="O328" s="504"/>
      <c r="P328" s="504"/>
      <c r="Q328" s="504"/>
      <c r="R328" s="504"/>
      <c r="S328" s="504"/>
      <c r="T328" s="504"/>
      <c r="U328" s="504"/>
      <c r="V328" s="504"/>
      <c r="W328" s="505"/>
      <c r="X328" s="153"/>
      <c r="Y328" s="194"/>
    </row>
    <row r="329" spans="1:25" ht="21.95" customHeight="1" x14ac:dyDescent="0.2">
      <c r="A329" s="273" t="s">
        <v>2812</v>
      </c>
      <c r="B329" s="288" t="str">
        <f t="shared" ref="B329:B333" si="50">IF(W546="","",IF(UPPER(W546)="YES",TRUE,FALSE))</f>
        <v/>
      </c>
      <c r="C329" s="281">
        <f ca="1">VLOOKUP(A329,DB_TBL_DATA_FIELDS[[FIELD_ID]:[PCT_CALC_FIELD_STATUS_CODE]],22,FALSE)</f>
        <v>-1</v>
      </c>
      <c r="D329" s="281" t="str">
        <f>IF(VLOOKUP(A329,DB_TBL_DATA_FIELDS[[FIELD_ID]:[ERROR_MESSAGE]],23,FALSE)&lt;&gt;0,VLOOKUP(A329,DB_TBL_DATA_FIELDS[[FIELD_ID]:[ERROR_MESSAGE]],23,FALSE),"")</f>
        <v/>
      </c>
      <c r="E329" s="281">
        <f>VLOOKUP(A329,DB_TBL_DATA_FIELDS[[#All],[FIELD_ID]:[RANGE_VALIDATION_MAX]],18,FALSE)</f>
        <v>0</v>
      </c>
      <c r="F329" s="281">
        <f>VLOOKUP(A329,DB_TBL_DATA_FIELDS[[#All],[FIELD_ID]:[RANGE_VALIDATION_MAX]],19,FALSE)</f>
        <v>1</v>
      </c>
      <c r="G329" s="281" t="str">
        <f t="shared" ca="1" si="48"/>
        <v/>
      </c>
      <c r="H329" s="215"/>
      <c r="I329" s="503"/>
      <c r="J329" s="504"/>
      <c r="K329" s="504"/>
      <c r="L329" s="504"/>
      <c r="M329" s="504"/>
      <c r="N329" s="504"/>
      <c r="O329" s="504"/>
      <c r="P329" s="504"/>
      <c r="Q329" s="504"/>
      <c r="R329" s="504"/>
      <c r="S329" s="504"/>
      <c r="T329" s="504"/>
      <c r="U329" s="504"/>
      <c r="V329" s="504"/>
      <c r="W329" s="505"/>
      <c r="X329" s="153"/>
      <c r="Y329" s="194"/>
    </row>
    <row r="330" spans="1:25" ht="21.95" customHeight="1" x14ac:dyDescent="0.2">
      <c r="A330" s="273" t="s">
        <v>2790</v>
      </c>
      <c r="B330" s="288" t="str">
        <f t="shared" si="50"/>
        <v/>
      </c>
      <c r="C330" s="281">
        <f ca="1">VLOOKUP(A330,DB_TBL_DATA_FIELDS[[FIELD_ID]:[PCT_CALC_FIELD_STATUS_CODE]],22,FALSE)</f>
        <v>-1</v>
      </c>
      <c r="D330" s="281" t="str">
        <f>IF(VLOOKUP(A330,DB_TBL_DATA_FIELDS[[FIELD_ID]:[ERROR_MESSAGE]],23,FALSE)&lt;&gt;0,VLOOKUP(A330,DB_TBL_DATA_FIELDS[[FIELD_ID]:[ERROR_MESSAGE]],23,FALSE),"")</f>
        <v/>
      </c>
      <c r="E330" s="281">
        <f>VLOOKUP(A330,DB_TBL_DATA_FIELDS[[#All],[FIELD_ID]:[RANGE_VALIDATION_MAX]],18,FALSE)</f>
        <v>0</v>
      </c>
      <c r="F330" s="281">
        <f>VLOOKUP(A330,DB_TBL_DATA_FIELDS[[#All],[FIELD_ID]:[RANGE_VALIDATION_MAX]],19,FALSE)</f>
        <v>1</v>
      </c>
      <c r="G330" s="281" t="str">
        <f t="shared" ca="1" si="48"/>
        <v/>
      </c>
      <c r="H330" s="215"/>
      <c r="I330" s="503"/>
      <c r="J330" s="504"/>
      <c r="K330" s="504"/>
      <c r="L330" s="504"/>
      <c r="M330" s="504"/>
      <c r="N330" s="504"/>
      <c r="O330" s="504"/>
      <c r="P330" s="504"/>
      <c r="Q330" s="504"/>
      <c r="R330" s="504"/>
      <c r="S330" s="504"/>
      <c r="T330" s="504"/>
      <c r="U330" s="504"/>
      <c r="V330" s="504"/>
      <c r="W330" s="505"/>
      <c r="X330" s="153"/>
      <c r="Y330" s="194"/>
    </row>
    <row r="331" spans="1:25" ht="21.95" customHeight="1" x14ac:dyDescent="0.2">
      <c r="A331" s="273" t="s">
        <v>2791</v>
      </c>
      <c r="B331" s="288" t="str">
        <f t="shared" si="50"/>
        <v/>
      </c>
      <c r="C331" s="281">
        <f ca="1">VLOOKUP(A331,DB_TBL_DATA_FIELDS[[FIELD_ID]:[PCT_CALC_FIELD_STATUS_CODE]],22,FALSE)</f>
        <v>-1</v>
      </c>
      <c r="D331" s="281" t="str">
        <f>IF(VLOOKUP(A331,DB_TBL_DATA_FIELDS[[FIELD_ID]:[ERROR_MESSAGE]],23,FALSE)&lt;&gt;0,VLOOKUP(A331,DB_TBL_DATA_FIELDS[[FIELD_ID]:[ERROR_MESSAGE]],23,FALSE),"")</f>
        <v/>
      </c>
      <c r="E331" s="281">
        <f>VLOOKUP(A331,DB_TBL_DATA_FIELDS[[#All],[FIELD_ID]:[RANGE_VALIDATION_MAX]],18,FALSE)</f>
        <v>0</v>
      </c>
      <c r="F331" s="281">
        <f>VLOOKUP(A331,DB_TBL_DATA_FIELDS[[#All],[FIELD_ID]:[RANGE_VALIDATION_MAX]],19,FALSE)</f>
        <v>1</v>
      </c>
      <c r="G331" s="281" t="str">
        <f t="shared" ca="1" si="48"/>
        <v/>
      </c>
      <c r="H331" s="215"/>
      <c r="I331" s="503"/>
      <c r="J331" s="504"/>
      <c r="K331" s="504"/>
      <c r="L331" s="504"/>
      <c r="M331" s="504"/>
      <c r="N331" s="504"/>
      <c r="O331" s="504"/>
      <c r="P331" s="504"/>
      <c r="Q331" s="504"/>
      <c r="R331" s="504"/>
      <c r="S331" s="504"/>
      <c r="T331" s="504"/>
      <c r="U331" s="504"/>
      <c r="V331" s="504"/>
      <c r="W331" s="505"/>
      <c r="X331" s="153"/>
      <c r="Y331" s="194"/>
    </row>
    <row r="332" spans="1:25" ht="21.95" customHeight="1" x14ac:dyDescent="0.2">
      <c r="A332" s="273" t="s">
        <v>2792</v>
      </c>
      <c r="B332" s="288" t="str">
        <f t="shared" si="50"/>
        <v/>
      </c>
      <c r="C332" s="281">
        <f ca="1">VLOOKUP(A332,DB_TBL_DATA_FIELDS[[FIELD_ID]:[PCT_CALC_FIELD_STATUS_CODE]],22,FALSE)</f>
        <v>-1</v>
      </c>
      <c r="D332" s="281" t="str">
        <f>IF(VLOOKUP(A332,DB_TBL_DATA_FIELDS[[FIELD_ID]:[ERROR_MESSAGE]],23,FALSE)&lt;&gt;0,VLOOKUP(A332,DB_TBL_DATA_FIELDS[[FIELD_ID]:[ERROR_MESSAGE]],23,FALSE),"")</f>
        <v/>
      </c>
      <c r="E332" s="281">
        <f>VLOOKUP(A332,DB_TBL_DATA_FIELDS[[#All],[FIELD_ID]:[RANGE_VALIDATION_MAX]],18,FALSE)</f>
        <v>0</v>
      </c>
      <c r="F332" s="281">
        <f>VLOOKUP(A332,DB_TBL_DATA_FIELDS[[#All],[FIELD_ID]:[RANGE_VALIDATION_MAX]],19,FALSE)</f>
        <v>1</v>
      </c>
      <c r="G332" s="281" t="str">
        <f t="shared" ca="1" si="48"/>
        <v/>
      </c>
      <c r="H332" s="215"/>
      <c r="I332" s="506"/>
      <c r="J332" s="507"/>
      <c r="K332" s="507"/>
      <c r="L332" s="507"/>
      <c r="M332" s="507"/>
      <c r="N332" s="507"/>
      <c r="O332" s="507"/>
      <c r="P332" s="507"/>
      <c r="Q332" s="507"/>
      <c r="R332" s="507"/>
      <c r="S332" s="507"/>
      <c r="T332" s="507"/>
      <c r="U332" s="507"/>
      <c r="V332" s="507"/>
      <c r="W332" s="508"/>
      <c r="X332" s="153"/>
      <c r="Y332" s="194"/>
    </row>
    <row r="333" spans="1:25" ht="20.100000000000001" customHeight="1" x14ac:dyDescent="0.2">
      <c r="A333" s="273" t="s">
        <v>2793</v>
      </c>
      <c r="B333" s="288" t="str">
        <f t="shared" si="50"/>
        <v/>
      </c>
      <c r="C333" s="281">
        <f ca="1">VLOOKUP(A333,DB_TBL_DATA_FIELDS[[FIELD_ID]:[PCT_CALC_FIELD_STATUS_CODE]],22,FALSE)</f>
        <v>-1</v>
      </c>
      <c r="D333" s="281" t="str">
        <f>IF(VLOOKUP(A333,DB_TBL_DATA_FIELDS[[FIELD_ID]:[ERROR_MESSAGE]],23,FALSE)&lt;&gt;0,VLOOKUP(A333,DB_TBL_DATA_FIELDS[[FIELD_ID]:[ERROR_MESSAGE]],23,FALSE),"")</f>
        <v/>
      </c>
      <c r="E333" s="281">
        <f>VLOOKUP(A333,DB_TBL_DATA_FIELDS[[#All],[FIELD_ID]:[RANGE_VALIDATION_MAX]],18,FALSE)</f>
        <v>0</v>
      </c>
      <c r="F333" s="281">
        <f>VLOOKUP(A333,DB_TBL_DATA_FIELDS[[#All],[FIELD_ID]:[RANGE_VALIDATION_MAX]],19,FALSE)</f>
        <v>1</v>
      </c>
      <c r="G333" s="281" t="str">
        <f t="shared" ca="1" si="48"/>
        <v/>
      </c>
      <c r="H333" s="215"/>
      <c r="I333" s="358" t="s">
        <v>3553</v>
      </c>
      <c r="J333" s="344"/>
      <c r="K333" s="344"/>
      <c r="L333" s="344"/>
      <c r="M333" s="344"/>
      <c r="N333" s="344"/>
      <c r="O333" s="344"/>
      <c r="P333" s="344"/>
      <c r="Q333" s="344"/>
      <c r="R333" s="344"/>
      <c r="S333" s="344"/>
      <c r="T333" s="344"/>
      <c r="U333" s="344"/>
      <c r="V333" s="344"/>
      <c r="W333" s="344"/>
      <c r="X333" s="153"/>
      <c r="Y333" s="194"/>
    </row>
    <row r="334" spans="1:25" ht="39.950000000000003" customHeight="1" x14ac:dyDescent="0.2">
      <c r="A334" s="290" t="s">
        <v>333</v>
      </c>
      <c r="B334" s="282" t="str">
        <f>"C"&amp;MATCH(LEFT(A334,LEN(A334)-LEN("_RANGE")),A:A,0)+1&amp;":C"&amp;(ROW()-1)</f>
        <v>C310:C333</v>
      </c>
      <c r="C334" s="281"/>
      <c r="D334" s="281"/>
      <c r="E334" s="281"/>
      <c r="F334" s="281"/>
      <c r="G334" s="281"/>
      <c r="H334" s="215"/>
      <c r="I334" s="457" t="s">
        <v>61</v>
      </c>
      <c r="J334" s="458"/>
      <c r="K334" s="457" t="s">
        <v>3554</v>
      </c>
      <c r="L334" s="458"/>
      <c r="M334" s="457" t="s">
        <v>220</v>
      </c>
      <c r="N334" s="458"/>
      <c r="O334" s="457" t="s">
        <v>274</v>
      </c>
      <c r="P334" s="458"/>
      <c r="Q334" s="457" t="s">
        <v>3555</v>
      </c>
      <c r="R334" s="458"/>
      <c r="S334" s="457" t="s">
        <v>3556</v>
      </c>
      <c r="T334" s="458"/>
      <c r="U334" s="589" t="s">
        <v>3557</v>
      </c>
      <c r="V334" s="590"/>
      <c r="W334" s="591"/>
      <c r="X334" s="357" t="str">
        <f ca="1">G225</f>
        <v/>
      </c>
      <c r="Y334" s="194"/>
    </row>
    <row r="335" spans="1:25" ht="39.950000000000003" customHeight="1" x14ac:dyDescent="0.2">
      <c r="A335" s="290" t="s">
        <v>334</v>
      </c>
      <c r="B335" s="282">
        <f ca="1">COUNTIF(INDIRECT($B334),2)</f>
        <v>0</v>
      </c>
      <c r="C335" s="281"/>
      <c r="D335" s="281"/>
      <c r="E335" s="281"/>
      <c r="F335" s="281"/>
      <c r="G335" s="281"/>
      <c r="H335" s="215"/>
      <c r="I335" s="592"/>
      <c r="J335" s="592"/>
      <c r="K335" s="593"/>
      <c r="L335" s="593"/>
      <c r="M335" s="592"/>
      <c r="N335" s="592"/>
      <c r="O335" s="593"/>
      <c r="P335" s="593"/>
      <c r="Q335" s="593"/>
      <c r="R335" s="593"/>
      <c r="S335" s="592"/>
      <c r="T335" s="592"/>
      <c r="U335" s="592"/>
      <c r="V335" s="592"/>
      <c r="W335" s="592"/>
      <c r="X335" s="140"/>
      <c r="Y335" s="194"/>
    </row>
    <row r="336" spans="1:25" ht="39.950000000000003" customHeight="1" x14ac:dyDescent="0.2">
      <c r="A336" s="290" t="s">
        <v>335</v>
      </c>
      <c r="B336" s="282">
        <f ca="1">COUNTIF(INDIRECT($B334),0)+COUNTIF(INDIRECT($B334),1)+COUNTIF(INDIRECT($B334),2)</f>
        <v>3</v>
      </c>
      <c r="C336" s="281"/>
      <c r="D336" s="281"/>
      <c r="E336" s="281"/>
      <c r="F336" s="281"/>
      <c r="G336" s="281"/>
      <c r="H336" s="215"/>
      <c r="I336" s="592"/>
      <c r="J336" s="592"/>
      <c r="K336" s="593"/>
      <c r="L336" s="593"/>
      <c r="M336" s="592"/>
      <c r="N336" s="592"/>
      <c r="O336" s="593"/>
      <c r="P336" s="593"/>
      <c r="Q336" s="593"/>
      <c r="R336" s="593"/>
      <c r="S336" s="592"/>
      <c r="T336" s="592"/>
      <c r="U336" s="592"/>
      <c r="V336" s="592"/>
      <c r="W336" s="592"/>
      <c r="X336" s="140"/>
      <c r="Y336" s="194"/>
    </row>
    <row r="337" spans="1:25" ht="39.950000000000003" customHeight="1" x14ac:dyDescent="0.2">
      <c r="A337" s="290" t="s">
        <v>336</v>
      </c>
      <c r="B337" s="282">
        <f ca="1">COUNTIF(INDIRECT($B334),0)</f>
        <v>0</v>
      </c>
      <c r="C337" s="281" t="s">
        <v>2607</v>
      </c>
      <c r="D337" s="281"/>
      <c r="E337" s="281"/>
      <c r="F337" s="281"/>
      <c r="G337" s="281"/>
      <c r="H337" s="215"/>
      <c r="I337" s="592"/>
      <c r="J337" s="592"/>
      <c r="K337" s="593"/>
      <c r="L337" s="593"/>
      <c r="M337" s="592"/>
      <c r="N337" s="592"/>
      <c r="O337" s="593"/>
      <c r="P337" s="593"/>
      <c r="Q337" s="593"/>
      <c r="R337" s="593"/>
      <c r="S337" s="592"/>
      <c r="T337" s="592"/>
      <c r="U337" s="592"/>
      <c r="V337" s="592"/>
      <c r="W337" s="592"/>
      <c r="X337" s="140"/>
      <c r="Y337" s="194"/>
    </row>
    <row r="338" spans="1:25" ht="39.950000000000003" customHeight="1" x14ac:dyDescent="0.2">
      <c r="A338" s="290" t="s">
        <v>337</v>
      </c>
      <c r="B338" s="291">
        <f ca="1">IFERROR(B335/B336,1.01)</f>
        <v>0</v>
      </c>
      <c r="C338" s="281"/>
      <c r="D338" s="281"/>
      <c r="E338" s="281"/>
      <c r="F338" s="281"/>
      <c r="G338" s="281"/>
      <c r="H338" s="215"/>
      <c r="I338" s="592"/>
      <c r="J338" s="592"/>
      <c r="K338" s="593"/>
      <c r="L338" s="593"/>
      <c r="M338" s="592"/>
      <c r="N338" s="592"/>
      <c r="O338" s="593"/>
      <c r="P338" s="593"/>
      <c r="Q338" s="593"/>
      <c r="R338" s="593"/>
      <c r="S338" s="592"/>
      <c r="T338" s="592"/>
      <c r="U338" s="592"/>
      <c r="V338" s="592"/>
      <c r="W338" s="592"/>
      <c r="X338" s="140"/>
      <c r="Y338" s="194"/>
    </row>
    <row r="339" spans="1:25" ht="39.950000000000003" customHeight="1" x14ac:dyDescent="0.2">
      <c r="A339" s="290" t="s">
        <v>338</v>
      </c>
      <c r="B339" s="292" t="str">
        <f ca="1">IF(B337&gt;0,"Data Error(s)",IF(B338=0,"Not Started",IF(B338&lt;1,ROUNDUP(B338*100,0)&amp;"% Done",IF(B338&gt;1,"Optional","Complete"))))</f>
        <v>Not Started</v>
      </c>
      <c r="C339" s="281"/>
      <c r="D339" s="281"/>
      <c r="E339" s="281"/>
      <c r="F339" s="281"/>
      <c r="G339" s="281"/>
      <c r="H339" s="215"/>
      <c r="I339" s="592"/>
      <c r="J339" s="592"/>
      <c r="K339" s="593"/>
      <c r="L339" s="593"/>
      <c r="M339" s="592"/>
      <c r="N339" s="592"/>
      <c r="O339" s="593"/>
      <c r="P339" s="593"/>
      <c r="Q339" s="593"/>
      <c r="R339" s="593"/>
      <c r="S339" s="592"/>
      <c r="T339" s="592"/>
      <c r="U339" s="592"/>
      <c r="V339" s="592"/>
      <c r="W339" s="592"/>
      <c r="X339" s="140"/>
      <c r="Y339" s="194"/>
    </row>
    <row r="340" spans="1:25" ht="39.950000000000003" customHeight="1" x14ac:dyDescent="0.2">
      <c r="A340" s="290" t="s">
        <v>339</v>
      </c>
      <c r="B340" s="282" t="str">
        <f ca="1">IF(B337&gt;0,0,IF(B338&lt;1,"",2))</f>
        <v/>
      </c>
      <c r="C340" s="281"/>
      <c r="D340" s="281"/>
      <c r="E340" s="281"/>
      <c r="F340" s="281"/>
      <c r="G340" s="281"/>
      <c r="H340" s="215"/>
      <c r="I340" s="592"/>
      <c r="J340" s="592"/>
      <c r="K340" s="593"/>
      <c r="L340" s="593"/>
      <c r="M340" s="592"/>
      <c r="N340" s="592"/>
      <c r="O340" s="593"/>
      <c r="P340" s="593"/>
      <c r="Q340" s="593"/>
      <c r="R340" s="593"/>
      <c r="S340" s="592"/>
      <c r="T340" s="592"/>
      <c r="U340" s="592"/>
      <c r="V340" s="592"/>
      <c r="W340" s="592"/>
      <c r="X340" s="140"/>
      <c r="Y340" s="194"/>
    </row>
    <row r="341" spans="1:25" ht="39.950000000000003" customHeight="1" x14ac:dyDescent="0.2">
      <c r="A341" s="290" t="s">
        <v>340</v>
      </c>
      <c r="B341" s="293" t="s">
        <v>2841</v>
      </c>
      <c r="C341" s="281"/>
      <c r="D341" s="281"/>
      <c r="E341" s="281"/>
      <c r="F341" s="281"/>
      <c r="G341" s="281"/>
      <c r="H341" s="215"/>
      <c r="I341" s="592"/>
      <c r="J341" s="592"/>
      <c r="K341" s="593"/>
      <c r="L341" s="593"/>
      <c r="M341" s="592"/>
      <c r="N341" s="592"/>
      <c r="O341" s="593"/>
      <c r="P341" s="593"/>
      <c r="Q341" s="593"/>
      <c r="R341" s="593"/>
      <c r="S341" s="592"/>
      <c r="T341" s="592"/>
      <c r="U341" s="592"/>
      <c r="V341" s="592"/>
      <c r="W341" s="592"/>
      <c r="X341" s="140"/>
      <c r="Y341" s="194"/>
    </row>
    <row r="342" spans="1:25" ht="39.950000000000003" customHeight="1" x14ac:dyDescent="0.2">
      <c r="A342" s="294" t="s">
        <v>2373</v>
      </c>
      <c r="B342" s="300" t="str">
        <f ca="1">IF(D327&lt;&gt;"",D327,"")</f>
        <v/>
      </c>
      <c r="C342" s="281">
        <f ca="1">IF(B342="",0,1)</f>
        <v>0</v>
      </c>
      <c r="D342" s="281"/>
      <c r="E342" s="281"/>
      <c r="F342" s="281"/>
      <c r="G342" s="281"/>
      <c r="H342" s="215"/>
      <c r="I342" s="592"/>
      <c r="J342" s="592"/>
      <c r="K342" s="593"/>
      <c r="L342" s="593"/>
      <c r="M342" s="592"/>
      <c r="N342" s="592"/>
      <c r="O342" s="593"/>
      <c r="P342" s="593"/>
      <c r="Q342" s="593"/>
      <c r="R342" s="593"/>
      <c r="S342" s="592"/>
      <c r="T342" s="592"/>
      <c r="U342" s="592"/>
      <c r="V342" s="592"/>
      <c r="W342" s="592"/>
      <c r="X342" s="140"/>
      <c r="Y342" s="194"/>
    </row>
    <row r="343" spans="1:25" ht="39.950000000000003" customHeight="1" x14ac:dyDescent="0.2">
      <c r="A343" s="294" t="s">
        <v>2348</v>
      </c>
      <c r="B343" s="282">
        <f ca="1">SUM(C342)</f>
        <v>0</v>
      </c>
      <c r="C343" s="281" t="s">
        <v>2462</v>
      </c>
      <c r="D343" s="281"/>
      <c r="E343" s="281"/>
      <c r="F343" s="281"/>
      <c r="G343" s="281"/>
      <c r="H343" s="215"/>
      <c r="I343" s="592"/>
      <c r="J343" s="592"/>
      <c r="K343" s="593"/>
      <c r="L343" s="593"/>
      <c r="M343" s="592"/>
      <c r="N343" s="592"/>
      <c r="O343" s="593"/>
      <c r="P343" s="593"/>
      <c r="Q343" s="593"/>
      <c r="R343" s="593"/>
      <c r="S343" s="592"/>
      <c r="T343" s="592"/>
      <c r="U343" s="592"/>
      <c r="V343" s="592"/>
      <c r="W343" s="592"/>
      <c r="X343" s="140"/>
      <c r="Y343" s="194"/>
    </row>
    <row r="344" spans="1:25" ht="39.950000000000003" customHeight="1" x14ac:dyDescent="0.2">
      <c r="A344" s="294" t="s">
        <v>2349</v>
      </c>
      <c r="B344" s="282" t="b">
        <f ca="1">(B343&gt;0)</f>
        <v>0</v>
      </c>
      <c r="C344" s="281"/>
      <c r="D344" s="281"/>
      <c r="E344" s="281"/>
      <c r="F344" s="281"/>
      <c r="G344" s="281"/>
      <c r="H344" s="215"/>
      <c r="I344" s="592"/>
      <c r="J344" s="592"/>
      <c r="K344" s="593"/>
      <c r="L344" s="593"/>
      <c r="M344" s="592"/>
      <c r="N344" s="592"/>
      <c r="O344" s="593"/>
      <c r="P344" s="593"/>
      <c r="Q344" s="593"/>
      <c r="R344" s="593"/>
      <c r="S344" s="592"/>
      <c r="T344" s="592"/>
      <c r="U344" s="592"/>
      <c r="V344" s="592"/>
      <c r="W344" s="592"/>
      <c r="X344" s="140"/>
      <c r="Y344" s="194"/>
    </row>
    <row r="345" spans="1:25" ht="20.100000000000001" customHeight="1" x14ac:dyDescent="0.2">
      <c r="A345" s="440" t="s">
        <v>3915</v>
      </c>
      <c r="B345" s="282">
        <v>5</v>
      </c>
      <c r="C345" s="281"/>
      <c r="D345" s="281"/>
      <c r="E345" s="281"/>
      <c r="F345" s="281"/>
      <c r="G345" s="281"/>
      <c r="H345" s="215"/>
      <c r="I345" s="231" t="s">
        <v>3561</v>
      </c>
      <c r="J345" s="204"/>
      <c r="K345" s="204"/>
      <c r="L345" s="204"/>
      <c r="M345" s="204"/>
      <c r="N345" s="204"/>
      <c r="O345" s="204"/>
      <c r="P345" s="204"/>
      <c r="Q345" s="204"/>
      <c r="R345" s="204"/>
      <c r="S345" s="204"/>
      <c r="T345" s="204"/>
      <c r="U345" s="204"/>
      <c r="V345" s="204"/>
      <c r="W345" s="204"/>
      <c r="X345" s="153"/>
      <c r="Y345" s="194"/>
    </row>
    <row r="346" spans="1:25" ht="39.950000000000003" customHeight="1" x14ac:dyDescent="0.2">
      <c r="A346" s="440" t="s">
        <v>3916</v>
      </c>
      <c r="B346" s="282">
        <f ca="1">DATA_SCORE_DONATEDCONVEYED_FINAL</f>
        <v>0</v>
      </c>
      <c r="C346" s="281"/>
      <c r="D346" s="281"/>
      <c r="E346" s="281"/>
      <c r="F346" s="281"/>
      <c r="G346" s="281"/>
      <c r="H346" s="215"/>
      <c r="I346" s="457" t="s">
        <v>61</v>
      </c>
      <c r="J346" s="458"/>
      <c r="K346" s="457" t="s">
        <v>3554</v>
      </c>
      <c r="L346" s="458"/>
      <c r="M346" s="457" t="s">
        <v>220</v>
      </c>
      <c r="N346" s="458"/>
      <c r="O346" s="457" t="s">
        <v>274</v>
      </c>
      <c r="P346" s="458"/>
      <c r="Q346" s="457" t="s">
        <v>3555</v>
      </c>
      <c r="R346" s="458"/>
      <c r="S346" s="457" t="s">
        <v>3556</v>
      </c>
      <c r="T346" s="458"/>
      <c r="U346" s="589" t="s">
        <v>3557</v>
      </c>
      <c r="V346" s="590"/>
      <c r="W346" s="591"/>
      <c r="X346" s="357" t="str">
        <f ca="1">G226</f>
        <v/>
      </c>
      <c r="Y346" s="194"/>
    </row>
    <row r="347" spans="1:25" ht="39.950000000000003" customHeight="1" x14ac:dyDescent="0.2">
      <c r="A347" s="440" t="s">
        <v>3917</v>
      </c>
      <c r="B347" s="282" t="str">
        <f>SUBSTITUTE(CONFIG_POINT_HEADER_TEMPLATE,"[MAX]",B345)</f>
        <v>(Maximum Points: 5)</v>
      </c>
      <c r="C347" s="281"/>
      <c r="D347" s="281"/>
      <c r="E347" s="281"/>
      <c r="F347" s="281"/>
      <c r="G347" s="281"/>
      <c r="H347" s="215"/>
      <c r="I347" s="592"/>
      <c r="J347" s="592"/>
      <c r="K347" s="593"/>
      <c r="L347" s="593"/>
      <c r="M347" s="592"/>
      <c r="N347" s="592"/>
      <c r="O347" s="593"/>
      <c r="P347" s="593"/>
      <c r="Q347" s="593"/>
      <c r="R347" s="593"/>
      <c r="S347" s="592"/>
      <c r="T347" s="592"/>
      <c r="U347" s="592"/>
      <c r="V347" s="592"/>
      <c r="W347" s="592"/>
      <c r="X347" s="140"/>
      <c r="Y347" s="194"/>
    </row>
    <row r="348" spans="1:25" ht="39.950000000000003" customHeight="1" x14ac:dyDescent="0.2">
      <c r="A348" s="440" t="s">
        <v>3918</v>
      </c>
      <c r="B348" s="441" t="str">
        <f ca="1">SUBSTITUTE(CONFIG_SCORE_SUBHEADER_TEMPLATE,"[SCORE]",ROUND(B346,2))</f>
        <v>Estimated Score: 0</v>
      </c>
      <c r="C348" s="281"/>
      <c r="D348" s="281"/>
      <c r="E348" s="281"/>
      <c r="F348" s="281"/>
      <c r="G348" s="281"/>
      <c r="H348" s="215"/>
      <c r="I348" s="592"/>
      <c r="J348" s="592"/>
      <c r="K348" s="593"/>
      <c r="L348" s="593"/>
      <c r="M348" s="592"/>
      <c r="N348" s="592"/>
      <c r="O348" s="593"/>
      <c r="P348" s="593"/>
      <c r="Q348" s="593"/>
      <c r="R348" s="593"/>
      <c r="S348" s="592"/>
      <c r="T348" s="592"/>
      <c r="U348" s="592"/>
      <c r="V348" s="592"/>
      <c r="W348" s="592"/>
      <c r="X348" s="140"/>
      <c r="Y348" s="194"/>
    </row>
    <row r="349" spans="1:25" ht="39.950000000000003" customHeight="1" x14ac:dyDescent="0.2">
      <c r="A349" s="285" t="s">
        <v>341</v>
      </c>
      <c r="B349" s="305" t="str">
        <f>C349&amp;" "&amp;B389</f>
        <v>Sponsorship by a Not-For-Profit Organization or Government Entity (Maximum Points: 7)</v>
      </c>
      <c r="C349" s="287" t="s">
        <v>3826</v>
      </c>
      <c r="D349" s="287"/>
      <c r="E349" s="287"/>
      <c r="F349" s="287"/>
      <c r="G349" s="172" t="str">
        <f>B384</f>
        <v>Nonprofit Sponsorship</v>
      </c>
      <c r="H349" s="215"/>
      <c r="I349" s="592"/>
      <c r="J349" s="592"/>
      <c r="K349" s="593"/>
      <c r="L349" s="593"/>
      <c r="M349" s="592"/>
      <c r="N349" s="592"/>
      <c r="O349" s="593"/>
      <c r="P349" s="593"/>
      <c r="Q349" s="593"/>
      <c r="R349" s="593"/>
      <c r="S349" s="592"/>
      <c r="T349" s="592"/>
      <c r="U349" s="592"/>
      <c r="V349" s="592"/>
      <c r="W349" s="592"/>
      <c r="X349" s="140"/>
      <c r="Y349" s="194"/>
    </row>
    <row r="350" spans="1:25" ht="39.950000000000003" customHeight="1" x14ac:dyDescent="0.2">
      <c r="A350" s="273" t="s">
        <v>2962</v>
      </c>
      <c r="B350" s="288" t="str">
        <f>IF(Q566&lt;&gt;"",Q566,"")</f>
        <v/>
      </c>
      <c r="C350" s="281">
        <f ca="1">VLOOKUP(A350,DB_TBL_DATA_FIELDS[[FIELD_ID]:[PCT_CALC_FIELD_STATUS_CODE]],22,FALSE)</f>
        <v>1</v>
      </c>
      <c r="D350" s="281" t="str">
        <f>IF(VLOOKUP(A350,DB_TBL_DATA_FIELDS[[FIELD_ID]:[ERROR_MESSAGE]],23,FALSE)&lt;&gt;0,VLOOKUP(A350,DB_TBL_DATA_FIELDS[[FIELD_ID]:[ERROR_MESSAGE]],23,FALSE),"")</f>
        <v/>
      </c>
      <c r="E350" s="281">
        <f>VLOOKUP(A350,DB_TBL_DATA_FIELDS[[#All],[FIELD_ID]:[RANGE_VALIDATION_MAX]],18,FALSE)</f>
        <v>0</v>
      </c>
      <c r="F350" s="281">
        <f>VLOOKUP(A350,DB_TBL_DATA_FIELDS[[#All],[FIELD_ID]:[RANGE_VALIDATION_MAX]],19,FALSE)</f>
        <v>100</v>
      </c>
      <c r="G350" s="281">
        <f ca="1">IF(C350&lt;0,"",C350)</f>
        <v>1</v>
      </c>
      <c r="H350" s="215"/>
      <c r="I350" s="592"/>
      <c r="J350" s="592"/>
      <c r="K350" s="593"/>
      <c r="L350" s="593"/>
      <c r="M350" s="592"/>
      <c r="N350" s="592"/>
      <c r="O350" s="593"/>
      <c r="P350" s="593"/>
      <c r="Q350" s="593"/>
      <c r="R350" s="593"/>
      <c r="S350" s="592"/>
      <c r="T350" s="592"/>
      <c r="U350" s="592"/>
      <c r="V350" s="592"/>
      <c r="W350" s="592"/>
      <c r="X350" s="140"/>
      <c r="Y350" s="194"/>
    </row>
    <row r="351" spans="1:25" ht="39.950000000000003" customHeight="1" x14ac:dyDescent="0.2">
      <c r="A351" s="297" t="s">
        <v>2963</v>
      </c>
      <c r="B351" s="298" t="str">
        <f>""</f>
        <v/>
      </c>
      <c r="C351" s="299">
        <f ca="1">VLOOKUP(A351,DB_TBL_DATA_FIELDS[[FIELD_ID]:[PCT_CALC_FIELD_STATUS_CODE]],22,FALSE)</f>
        <v>-1</v>
      </c>
      <c r="D351" s="299" t="str">
        <f>IF(VLOOKUP(A351,DB_TBL_DATA_FIELDS[[FIELD_ID]:[ERROR_MESSAGE]],23,FALSE)&lt;&gt;0,VLOOKUP(A351,DB_TBL_DATA_FIELDS[[FIELD_ID]:[ERROR_MESSAGE]],23,FALSE),"")</f>
        <v/>
      </c>
      <c r="E351" s="299">
        <f>VLOOKUP(A351,DB_TBL_DATA_FIELDS[[#All],[FIELD_ID]:[RANGE_VALIDATION_MAX]],18,FALSE)</f>
        <v>0</v>
      </c>
      <c r="F351" s="299">
        <f>VLOOKUP(A351,DB_TBL_DATA_FIELDS[[#All],[FIELD_ID]:[RANGE_VALIDATION_MAX]],19,FALSE)</f>
        <v>1</v>
      </c>
      <c r="G351" s="299" t="str">
        <f t="shared" ref="G351:G376" ca="1" si="51">IF(C351&lt;0,"",C351)</f>
        <v/>
      </c>
      <c r="H351" s="215"/>
      <c r="I351" s="592"/>
      <c r="J351" s="592"/>
      <c r="K351" s="593"/>
      <c r="L351" s="593"/>
      <c r="M351" s="592"/>
      <c r="N351" s="592"/>
      <c r="O351" s="593"/>
      <c r="P351" s="593"/>
      <c r="Q351" s="593"/>
      <c r="R351" s="593"/>
      <c r="S351" s="592"/>
      <c r="T351" s="592"/>
      <c r="U351" s="592"/>
      <c r="V351" s="592"/>
      <c r="W351" s="592"/>
      <c r="X351" s="140"/>
      <c r="Y351" s="194"/>
    </row>
    <row r="352" spans="1:25" ht="39.950000000000003" customHeight="1" x14ac:dyDescent="0.2">
      <c r="A352" s="273" t="s">
        <v>2964</v>
      </c>
      <c r="B352" s="288" t="str">
        <f>IF(W569="","",IF(UPPER(W569)="YES",TRUE,FALSE))</f>
        <v/>
      </c>
      <c r="C352" s="281">
        <f ca="1">VLOOKUP(A352,DB_TBL_DATA_FIELDS[[FIELD_ID]:[PCT_CALC_FIELD_STATUS_CODE]],22,FALSE)</f>
        <v>1</v>
      </c>
      <c r="D352" s="281" t="str">
        <f>IF(VLOOKUP(A352,DB_TBL_DATA_FIELDS[[FIELD_ID]:[ERROR_MESSAGE]],23,FALSE)&lt;&gt;0,VLOOKUP(A352,DB_TBL_DATA_FIELDS[[FIELD_ID]:[ERROR_MESSAGE]],23,FALSE),"")</f>
        <v/>
      </c>
      <c r="E352" s="281">
        <f>VLOOKUP(A352,DB_TBL_DATA_FIELDS[[#All],[FIELD_ID]:[RANGE_VALIDATION_MAX]],18,FALSE)</f>
        <v>0</v>
      </c>
      <c r="F352" s="281">
        <f>VLOOKUP(A352,DB_TBL_DATA_FIELDS[[#All],[FIELD_ID]:[RANGE_VALIDATION_MAX]],19,FALSE)</f>
        <v>1</v>
      </c>
      <c r="G352" s="281">
        <f t="shared" ca="1" si="51"/>
        <v>1</v>
      </c>
      <c r="H352" s="215"/>
      <c r="I352" s="592"/>
      <c r="J352" s="592"/>
      <c r="K352" s="593"/>
      <c r="L352" s="593"/>
      <c r="M352" s="592"/>
      <c r="N352" s="592"/>
      <c r="O352" s="593"/>
      <c r="P352" s="593"/>
      <c r="Q352" s="593"/>
      <c r="R352" s="593"/>
      <c r="S352" s="592"/>
      <c r="T352" s="592"/>
      <c r="U352" s="592"/>
      <c r="V352" s="592"/>
      <c r="W352" s="592"/>
      <c r="X352" s="140"/>
      <c r="Y352" s="194"/>
    </row>
    <row r="353" spans="1:25" ht="39.950000000000003" customHeight="1" x14ac:dyDescent="0.2">
      <c r="A353" s="273" t="s">
        <v>2965</v>
      </c>
      <c r="B353" s="288" t="str">
        <f>IF(I581&lt;&gt;"",I581,"")</f>
        <v/>
      </c>
      <c r="C353" s="281">
        <f ca="1">VLOOKUP(A353,DB_TBL_DATA_FIELDS[[FIELD_ID]:[PCT_CALC_FIELD_STATUS_CODE]],22,FALSE)</f>
        <v>1</v>
      </c>
      <c r="D353" s="281" t="str">
        <f>IF(VLOOKUP(A353,DB_TBL_DATA_FIELDS[[FIELD_ID]:[ERROR_MESSAGE]],23,FALSE)&lt;&gt;0,VLOOKUP(A353,DB_TBL_DATA_FIELDS[[FIELD_ID]:[ERROR_MESSAGE]],23,FALSE),"")</f>
        <v/>
      </c>
      <c r="E353" s="281">
        <f>VLOOKUP(A353,DB_TBL_DATA_FIELDS[[#All],[FIELD_ID]:[RANGE_VALIDATION_MAX]],18,FALSE)</f>
        <v>0</v>
      </c>
      <c r="F353" s="281">
        <f>VLOOKUP(A353,DB_TBL_DATA_FIELDS[[#All],[FIELD_ID]:[RANGE_VALIDATION_MAX]],19,FALSE)</f>
        <v>50</v>
      </c>
      <c r="G353" s="281">
        <f t="shared" ca="1" si="51"/>
        <v>1</v>
      </c>
      <c r="H353" s="215"/>
      <c r="I353" s="592"/>
      <c r="J353" s="592"/>
      <c r="K353" s="593"/>
      <c r="L353" s="593"/>
      <c r="M353" s="592"/>
      <c r="N353" s="592"/>
      <c r="O353" s="593"/>
      <c r="P353" s="593"/>
      <c r="Q353" s="593"/>
      <c r="R353" s="593"/>
      <c r="S353" s="592"/>
      <c r="T353" s="592"/>
      <c r="U353" s="592"/>
      <c r="V353" s="592"/>
      <c r="W353" s="592"/>
      <c r="X353" s="140"/>
      <c r="Y353" s="194"/>
    </row>
    <row r="354" spans="1:25" ht="39.950000000000003" customHeight="1" x14ac:dyDescent="0.2">
      <c r="A354" s="273" t="s">
        <v>3244</v>
      </c>
      <c r="B354" s="288" t="str">
        <f>IF(W583="","",IF(UPPER(W583)="YES",TRUE,FALSE))</f>
        <v/>
      </c>
      <c r="C354" s="281">
        <f ca="1">VLOOKUP(A354,DB_TBL_DATA_FIELDS[[FIELD_ID]:[PCT_CALC_FIELD_STATUS_CODE]],22,FALSE)</f>
        <v>1</v>
      </c>
      <c r="D354" s="281" t="str">
        <f>IF(VLOOKUP(A354,DB_TBL_DATA_FIELDS[[FIELD_ID]:[ERROR_MESSAGE]],23,FALSE)&lt;&gt;0,VLOOKUP(A354,DB_TBL_DATA_FIELDS[[FIELD_ID]:[ERROR_MESSAGE]],23,FALSE),"")</f>
        <v/>
      </c>
      <c r="E354" s="281">
        <f>VLOOKUP(A354,DB_TBL_DATA_FIELDS[[#All],[FIELD_ID]:[RANGE_VALIDATION_MAX]],18,FALSE)</f>
        <v>0</v>
      </c>
      <c r="F354" s="281">
        <f>VLOOKUP(A354,DB_TBL_DATA_FIELDS[[#All],[FIELD_ID]:[RANGE_VALIDATION_MAX]],19,FALSE)</f>
        <v>1</v>
      </c>
      <c r="G354" s="281">
        <f t="shared" ref="G354" ca="1" si="52">IF(C354&lt;0,"",C354)</f>
        <v>1</v>
      </c>
      <c r="H354" s="215"/>
      <c r="I354" s="592"/>
      <c r="J354" s="592"/>
      <c r="K354" s="593"/>
      <c r="L354" s="593"/>
      <c r="M354" s="592"/>
      <c r="N354" s="592"/>
      <c r="O354" s="593"/>
      <c r="P354" s="593"/>
      <c r="Q354" s="593"/>
      <c r="R354" s="593"/>
      <c r="S354" s="592"/>
      <c r="T354" s="592"/>
      <c r="U354" s="592"/>
      <c r="V354" s="592"/>
      <c r="W354" s="592"/>
      <c r="X354" s="140"/>
      <c r="Y354" s="194"/>
    </row>
    <row r="355" spans="1:25" ht="39.950000000000003" customHeight="1" x14ac:dyDescent="0.2">
      <c r="A355" s="273" t="s">
        <v>2966</v>
      </c>
      <c r="B355" s="288" t="str">
        <f>IF(I587&lt;&gt;"",I587,"")</f>
        <v/>
      </c>
      <c r="C355" s="281">
        <f ca="1">VLOOKUP(A355,DB_TBL_DATA_FIELDS[[FIELD_ID]:[PCT_CALC_FIELD_STATUS_CODE]],22,FALSE)</f>
        <v>-1</v>
      </c>
      <c r="D355" s="281" t="str">
        <f>IF(VLOOKUP(A355,DB_TBL_DATA_FIELDS[[FIELD_ID]:[ERROR_MESSAGE]],23,FALSE)&lt;&gt;0,VLOOKUP(A355,DB_TBL_DATA_FIELDS[[FIELD_ID]:[ERROR_MESSAGE]],23,FALSE),"")</f>
        <v/>
      </c>
      <c r="E355" s="281">
        <f>VLOOKUP(A355,DB_TBL_DATA_FIELDS[[#All],[FIELD_ID]:[RANGE_VALIDATION_MAX]],18,FALSE)</f>
        <v>0</v>
      </c>
      <c r="F355" s="281">
        <f>VLOOKUP(A355,DB_TBL_DATA_FIELDS[[#All],[FIELD_ID]:[RANGE_VALIDATION_MAX]],19,FALSE)</f>
        <v>100</v>
      </c>
      <c r="G355" s="281" t="str">
        <f t="shared" ca="1" si="51"/>
        <v/>
      </c>
      <c r="H355" s="215"/>
      <c r="I355" s="592"/>
      <c r="J355" s="592"/>
      <c r="K355" s="593"/>
      <c r="L355" s="593"/>
      <c r="M355" s="592"/>
      <c r="N355" s="592"/>
      <c r="O355" s="593"/>
      <c r="P355" s="593"/>
      <c r="Q355" s="593"/>
      <c r="R355" s="593"/>
      <c r="S355" s="592"/>
      <c r="T355" s="592"/>
      <c r="U355" s="592"/>
      <c r="V355" s="592"/>
      <c r="W355" s="592"/>
      <c r="X355" s="140"/>
      <c r="Y355" s="194"/>
    </row>
    <row r="356" spans="1:25" ht="39.950000000000003" customHeight="1" x14ac:dyDescent="0.2">
      <c r="A356" s="273" t="s">
        <v>2967</v>
      </c>
      <c r="B356" s="288" t="str">
        <f>IF(Q587&lt;&gt;"",Q587,"")</f>
        <v/>
      </c>
      <c r="C356" s="281">
        <f ca="1">VLOOKUP(A356,DB_TBL_DATA_FIELDS[[FIELD_ID]:[PCT_CALC_FIELD_STATUS_CODE]],22,FALSE)</f>
        <v>-1</v>
      </c>
      <c r="D356" s="281" t="str">
        <f ca="1">IF(VLOOKUP(A356,DB_TBL_DATA_FIELDS[[FIELD_ID]:[ERROR_MESSAGE]],23,FALSE)&lt;&gt;0,VLOOKUP(A356,DB_TBL_DATA_FIELDS[[FIELD_ID]:[ERROR_MESSAGE]],23,FALSE),"")</f>
        <v/>
      </c>
      <c r="E356" s="281">
        <f>VLOOKUP(A356,DB_TBL_DATA_FIELDS[[#All],[FIELD_ID]:[RANGE_VALIDATION_MAX]],18,FALSE)</f>
        <v>0</v>
      </c>
      <c r="F356" s="281">
        <f>VLOOKUP(A356,DB_TBL_DATA_FIELDS[[#All],[FIELD_ID]:[RANGE_VALIDATION_MAX]],19,FALSE)</f>
        <v>100</v>
      </c>
      <c r="G356" s="281" t="str">
        <f t="shared" ca="1" si="51"/>
        <v/>
      </c>
      <c r="H356" s="215"/>
      <c r="I356" s="592"/>
      <c r="J356" s="592"/>
      <c r="K356" s="593"/>
      <c r="L356" s="593"/>
      <c r="M356" s="592"/>
      <c r="N356" s="592"/>
      <c r="O356" s="593"/>
      <c r="P356" s="593"/>
      <c r="Q356" s="593"/>
      <c r="R356" s="593"/>
      <c r="S356" s="592"/>
      <c r="T356" s="592"/>
      <c r="U356" s="592"/>
      <c r="V356" s="592"/>
      <c r="W356" s="592"/>
      <c r="X356" s="140"/>
      <c r="Y356" s="194"/>
    </row>
    <row r="357" spans="1:25" ht="21.95" customHeight="1" x14ac:dyDescent="0.2">
      <c r="A357" s="273" t="s">
        <v>3392</v>
      </c>
      <c r="B357" s="288" t="str">
        <f>IF(I592&lt;&gt;"",I592,"")</f>
        <v/>
      </c>
      <c r="C357" s="281">
        <f ca="1">VLOOKUP(A357,DB_TBL_DATA_FIELDS[[FIELD_ID]:[PCT_CALC_FIELD_STATUS_CODE]],22,FALSE)</f>
        <v>-1</v>
      </c>
      <c r="D357" s="281" t="str">
        <f>IF(VLOOKUP(A357,DB_TBL_DATA_FIELDS[[FIELD_ID]:[ERROR_MESSAGE]],23,FALSE)&lt;&gt;0,VLOOKUP(A357,DB_TBL_DATA_FIELDS[[FIELD_ID]:[ERROR_MESSAGE]],23,FALSE),"")</f>
        <v/>
      </c>
      <c r="E357" s="281">
        <f>VLOOKUP(A357,DB_TBL_DATA_FIELDS[[#All],[FIELD_ID]:[RANGE_VALIDATION_MAX]],18,FALSE)</f>
        <v>0</v>
      </c>
      <c r="F357" s="281">
        <f>VLOOKUP(A357,DB_TBL_DATA_FIELDS[[#All],[FIELD_ID]:[RANGE_VALIDATION_MAX]],19,FALSE)</f>
        <v>150</v>
      </c>
      <c r="G357" s="281" t="str">
        <f t="shared" ref="G357" ca="1" si="53">IF(C357&lt;0,"",C357)</f>
        <v/>
      </c>
      <c r="H357" s="215"/>
      <c r="I357" s="225" t="s">
        <v>2768</v>
      </c>
      <c r="J357" s="204"/>
      <c r="K357" s="204"/>
      <c r="L357" s="204"/>
      <c r="M357" s="204"/>
      <c r="N357" s="204"/>
      <c r="O357" s="204"/>
      <c r="P357" s="204"/>
      <c r="Q357" s="204"/>
      <c r="R357" s="204"/>
      <c r="S357" s="204"/>
      <c r="T357" s="204"/>
      <c r="U357" s="204"/>
      <c r="V357" s="204"/>
      <c r="W357" s="204"/>
      <c r="X357" s="153"/>
      <c r="Y357" s="194"/>
    </row>
    <row r="358" spans="1:25" ht="21.95" customHeight="1" x14ac:dyDescent="0.2">
      <c r="A358" s="273" t="s">
        <v>3339</v>
      </c>
      <c r="B358" s="288" t="str">
        <f>IF(Q592&lt;&gt;"",Q592,"")</f>
        <v/>
      </c>
      <c r="C358" s="281">
        <f ca="1">VLOOKUP(A358,DB_TBL_DATA_FIELDS[[FIELD_ID]:[PCT_CALC_FIELD_STATUS_CODE]],22,FALSE)</f>
        <v>-1</v>
      </c>
      <c r="D358" s="281" t="str">
        <f>IF(VLOOKUP(A358,DB_TBL_DATA_FIELDS[[FIELD_ID]:[ERROR_MESSAGE]],23,FALSE)&lt;&gt;0,VLOOKUP(A358,DB_TBL_DATA_FIELDS[[FIELD_ID]:[ERROR_MESSAGE]],23,FALSE),"")</f>
        <v/>
      </c>
      <c r="E358" s="281">
        <f>VLOOKUP(A358,DB_TBL_DATA_FIELDS[[#All],[FIELD_ID]:[RANGE_VALIDATION_MAX]],18,FALSE)</f>
        <v>0</v>
      </c>
      <c r="F358" s="281">
        <f>VLOOKUP(A358,DB_TBL_DATA_FIELDS[[#All],[FIELD_ID]:[RANGE_VALIDATION_MAX]],19,FALSE)</f>
        <v>25</v>
      </c>
      <c r="G358" s="281" t="str">
        <f t="shared" ref="G358" ca="1" si="54">IF(C358&lt;0,"",C358)</f>
        <v/>
      </c>
      <c r="H358" s="215"/>
      <c r="I358" s="209"/>
      <c r="J358" s="209"/>
      <c r="K358" s="209"/>
      <c r="L358" s="209"/>
      <c r="M358" s="209"/>
      <c r="N358" s="209"/>
      <c r="O358" s="209"/>
      <c r="P358" s="209"/>
      <c r="Q358" s="209"/>
      <c r="R358" s="209"/>
      <c r="S358" s="209"/>
      <c r="T358" s="209"/>
      <c r="U358" s="209"/>
      <c r="V358" s="209"/>
      <c r="W358" s="175" t="str">
        <f>SUBSTITUTE(SUBSTITUTE(SUBSTITUTE(IF(LEN(B227)&gt;F227,CONFIG_CHAR_LIMIT_TEMPLATE_ERR,CONFIG_CHAR_LIMIT_TEMPLATE),"[diff]",ABS(LEN(B227)-F227)),"[limit]",F227),"[used]",LEN(B227))</f>
        <v>1500 character(s) remaining</v>
      </c>
      <c r="X358" s="153"/>
      <c r="Y358" s="194"/>
    </row>
    <row r="359" spans="1:25" ht="21.95" customHeight="1" x14ac:dyDescent="0.2">
      <c r="A359" s="297" t="s">
        <v>2968</v>
      </c>
      <c r="B359" s="297" t="str">
        <f>""</f>
        <v/>
      </c>
      <c r="C359" s="299"/>
      <c r="D359" s="299"/>
      <c r="E359" s="299"/>
      <c r="F359" s="299"/>
      <c r="G359" s="299"/>
      <c r="H359" s="215"/>
      <c r="I359" s="500"/>
      <c r="J359" s="501"/>
      <c r="K359" s="501"/>
      <c r="L359" s="501"/>
      <c r="M359" s="501"/>
      <c r="N359" s="501"/>
      <c r="O359" s="501"/>
      <c r="P359" s="501"/>
      <c r="Q359" s="501"/>
      <c r="R359" s="501"/>
      <c r="S359" s="501"/>
      <c r="T359" s="501"/>
      <c r="U359" s="501"/>
      <c r="V359" s="501"/>
      <c r="W359" s="502"/>
      <c r="X359" s="165">
        <f ca="1">G227</f>
        <v>1</v>
      </c>
      <c r="Y359" s="194"/>
    </row>
    <row r="360" spans="1:25" ht="21.95" customHeight="1" x14ac:dyDescent="0.2">
      <c r="A360" s="273" t="s">
        <v>2969</v>
      </c>
      <c r="B360" s="288" t="str">
        <f>IF(U592&lt;&gt;"",U592,"")</f>
        <v/>
      </c>
      <c r="C360" s="281">
        <f ca="1">VLOOKUP(A360,DB_TBL_DATA_FIELDS[[FIELD_ID]:[PCT_CALC_FIELD_STATUS_CODE]],22,FALSE)</f>
        <v>-1</v>
      </c>
      <c r="D360" s="281" t="str">
        <f>IF(VLOOKUP(A360,DB_TBL_DATA_FIELDS[[FIELD_ID]:[ERROR_MESSAGE]],23,FALSE)&lt;&gt;0,VLOOKUP(A360,DB_TBL_DATA_FIELDS[[FIELD_ID]:[ERROR_MESSAGE]],23,FALSE),"")</f>
        <v/>
      </c>
      <c r="E360" s="281">
        <f>VLOOKUP(A360,DB_TBL_DATA_FIELDS[[#All],[FIELD_ID]:[RANGE_VALIDATION_MAX]],18,FALSE)</f>
        <v>0</v>
      </c>
      <c r="F360" s="281">
        <f>VLOOKUP(A360,DB_TBL_DATA_FIELDS[[#All],[FIELD_ID]:[RANGE_VALIDATION_MAX]],19,FALSE)</f>
        <v>100</v>
      </c>
      <c r="G360" s="281" t="str">
        <f t="shared" ca="1" si="51"/>
        <v/>
      </c>
      <c r="H360" s="215"/>
      <c r="I360" s="503"/>
      <c r="J360" s="504"/>
      <c r="K360" s="504"/>
      <c r="L360" s="504"/>
      <c r="M360" s="504"/>
      <c r="N360" s="504"/>
      <c r="O360" s="504"/>
      <c r="P360" s="504"/>
      <c r="Q360" s="504"/>
      <c r="R360" s="504"/>
      <c r="S360" s="504"/>
      <c r="T360" s="504"/>
      <c r="U360" s="504"/>
      <c r="V360" s="504"/>
      <c r="W360" s="505"/>
      <c r="X360" s="153"/>
      <c r="Y360" s="194"/>
    </row>
    <row r="361" spans="1:25" ht="21.95" customHeight="1" x14ac:dyDescent="0.2">
      <c r="A361" s="273" t="s">
        <v>2970</v>
      </c>
      <c r="B361" s="288" t="str">
        <f>IF(I593&lt;&gt;"",I593,"")</f>
        <v/>
      </c>
      <c r="C361" s="281">
        <f ca="1">VLOOKUP(A361,DB_TBL_DATA_FIELDS[[FIELD_ID]:[PCT_CALC_FIELD_STATUS_CODE]],22,FALSE)</f>
        <v>-1</v>
      </c>
      <c r="D361" s="281" t="str">
        <f>IF(VLOOKUP(A361,DB_TBL_DATA_FIELDS[[FIELD_ID]:[ERROR_MESSAGE]],23,FALSE)&lt;&gt;0,VLOOKUP(A361,DB_TBL_DATA_FIELDS[[FIELD_ID]:[ERROR_MESSAGE]],23,FALSE),"")</f>
        <v/>
      </c>
      <c r="E361" s="281">
        <f>VLOOKUP(A361,DB_TBL_DATA_FIELDS[[#All],[FIELD_ID]:[RANGE_VALIDATION_MAX]],18,FALSE)</f>
        <v>0</v>
      </c>
      <c r="F361" s="281">
        <f>VLOOKUP(A361,DB_TBL_DATA_FIELDS[[#All],[FIELD_ID]:[RANGE_VALIDATION_MAX]],19,FALSE)</f>
        <v>150</v>
      </c>
      <c r="G361" s="281" t="str">
        <f t="shared" ca="1" si="51"/>
        <v/>
      </c>
      <c r="H361" s="215"/>
      <c r="I361" s="503"/>
      <c r="J361" s="504"/>
      <c r="K361" s="504"/>
      <c r="L361" s="504"/>
      <c r="M361" s="504"/>
      <c r="N361" s="504"/>
      <c r="O361" s="504"/>
      <c r="P361" s="504"/>
      <c r="Q361" s="504"/>
      <c r="R361" s="504"/>
      <c r="S361" s="504"/>
      <c r="T361" s="504"/>
      <c r="U361" s="504"/>
      <c r="V361" s="504"/>
      <c r="W361" s="505"/>
      <c r="X361" s="153"/>
      <c r="Y361" s="194"/>
    </row>
    <row r="362" spans="1:25" ht="21.95" customHeight="1" x14ac:dyDescent="0.2">
      <c r="A362" s="273" t="s">
        <v>2971</v>
      </c>
      <c r="B362" s="288" t="str">
        <f>IF(Q593&lt;&gt;"",Q593,"")</f>
        <v/>
      </c>
      <c r="C362" s="281">
        <f ca="1">VLOOKUP(A362,DB_TBL_DATA_FIELDS[[FIELD_ID]:[PCT_CALC_FIELD_STATUS_CODE]],22,FALSE)</f>
        <v>-1</v>
      </c>
      <c r="D362" s="281" t="str">
        <f>IF(VLOOKUP(A362,DB_TBL_DATA_FIELDS[[FIELD_ID]:[ERROR_MESSAGE]],23,FALSE)&lt;&gt;0,VLOOKUP(A362,DB_TBL_DATA_FIELDS[[FIELD_ID]:[ERROR_MESSAGE]],23,FALSE),"")</f>
        <v/>
      </c>
      <c r="E362" s="281">
        <f>VLOOKUP(A362,DB_TBL_DATA_FIELDS[[#All],[FIELD_ID]:[RANGE_VALIDATION_MAX]],18,FALSE)</f>
        <v>0</v>
      </c>
      <c r="F362" s="281">
        <f>VLOOKUP(A362,DB_TBL_DATA_FIELDS[[#All],[FIELD_ID]:[RANGE_VALIDATION_MAX]],19,FALSE)</f>
        <v>25</v>
      </c>
      <c r="G362" s="281" t="str">
        <f t="shared" ca="1" si="51"/>
        <v/>
      </c>
      <c r="H362" s="215"/>
      <c r="I362" s="503"/>
      <c r="J362" s="504"/>
      <c r="K362" s="504"/>
      <c r="L362" s="504"/>
      <c r="M362" s="504"/>
      <c r="N362" s="504"/>
      <c r="O362" s="504"/>
      <c r="P362" s="504"/>
      <c r="Q362" s="504"/>
      <c r="R362" s="504"/>
      <c r="S362" s="504"/>
      <c r="T362" s="504"/>
      <c r="U362" s="504"/>
      <c r="V362" s="504"/>
      <c r="W362" s="505"/>
      <c r="X362" s="153"/>
      <c r="Y362" s="194"/>
    </row>
    <row r="363" spans="1:25" ht="21.95" customHeight="1" x14ac:dyDescent="0.2">
      <c r="A363" s="297" t="s">
        <v>2972</v>
      </c>
      <c r="B363" s="297" t="str">
        <f>""</f>
        <v/>
      </c>
      <c r="C363" s="299"/>
      <c r="D363" s="299"/>
      <c r="E363" s="299"/>
      <c r="F363" s="299"/>
      <c r="G363" s="299"/>
      <c r="H363" s="215"/>
      <c r="I363" s="503"/>
      <c r="J363" s="504"/>
      <c r="K363" s="504"/>
      <c r="L363" s="504"/>
      <c r="M363" s="504"/>
      <c r="N363" s="504"/>
      <c r="O363" s="504"/>
      <c r="P363" s="504"/>
      <c r="Q363" s="504"/>
      <c r="R363" s="504"/>
      <c r="S363" s="504"/>
      <c r="T363" s="504"/>
      <c r="U363" s="504"/>
      <c r="V363" s="504"/>
      <c r="W363" s="505"/>
      <c r="X363" s="153"/>
      <c r="Y363" s="194"/>
    </row>
    <row r="364" spans="1:25" ht="21.95" customHeight="1" x14ac:dyDescent="0.2">
      <c r="A364" s="273" t="s">
        <v>2973</v>
      </c>
      <c r="B364" s="288" t="str">
        <f>IF(U593&lt;&gt;"",U593,"")</f>
        <v/>
      </c>
      <c r="C364" s="281">
        <f ca="1">VLOOKUP(A364,DB_TBL_DATA_FIELDS[[FIELD_ID]:[PCT_CALC_FIELD_STATUS_CODE]],22,FALSE)</f>
        <v>-1</v>
      </c>
      <c r="D364" s="281" t="str">
        <f>IF(VLOOKUP(A364,DB_TBL_DATA_FIELDS[[FIELD_ID]:[ERROR_MESSAGE]],23,FALSE)&lt;&gt;0,VLOOKUP(A364,DB_TBL_DATA_FIELDS[[FIELD_ID]:[ERROR_MESSAGE]],23,FALSE),"")</f>
        <v/>
      </c>
      <c r="E364" s="281">
        <f>VLOOKUP(A364,DB_TBL_DATA_FIELDS[[#All],[FIELD_ID]:[RANGE_VALIDATION_MAX]],18,FALSE)</f>
        <v>0</v>
      </c>
      <c r="F364" s="281">
        <f>VLOOKUP(A364,DB_TBL_DATA_FIELDS[[#All],[FIELD_ID]:[RANGE_VALIDATION_MAX]],19,FALSE)</f>
        <v>100</v>
      </c>
      <c r="G364" s="281" t="str">
        <f t="shared" ca="1" si="51"/>
        <v/>
      </c>
      <c r="H364" s="215"/>
      <c r="I364" s="506"/>
      <c r="J364" s="507"/>
      <c r="K364" s="507"/>
      <c r="L364" s="507"/>
      <c r="M364" s="507"/>
      <c r="N364" s="507"/>
      <c r="O364" s="507"/>
      <c r="P364" s="507"/>
      <c r="Q364" s="507"/>
      <c r="R364" s="507"/>
      <c r="S364" s="507"/>
      <c r="T364" s="507"/>
      <c r="U364" s="507"/>
      <c r="V364" s="507"/>
      <c r="W364" s="508"/>
      <c r="X364" s="153"/>
      <c r="Y364" s="194"/>
    </row>
    <row r="365" spans="1:25" ht="21.95" customHeight="1" x14ac:dyDescent="0.2">
      <c r="A365" s="273" t="s">
        <v>2974</v>
      </c>
      <c r="B365" s="288" t="str">
        <f>IF(I594&lt;&gt;"",I594,"")</f>
        <v/>
      </c>
      <c r="C365" s="281">
        <f ca="1">VLOOKUP(A365,DB_TBL_DATA_FIELDS[[FIELD_ID]:[PCT_CALC_FIELD_STATUS_CODE]],22,FALSE)</f>
        <v>-1</v>
      </c>
      <c r="D365" s="281" t="str">
        <f>IF(VLOOKUP(A365,DB_TBL_DATA_FIELDS[[FIELD_ID]:[ERROR_MESSAGE]],23,FALSE)&lt;&gt;0,VLOOKUP(A365,DB_TBL_DATA_FIELDS[[FIELD_ID]:[ERROR_MESSAGE]],23,FALSE),"")</f>
        <v/>
      </c>
      <c r="E365" s="281">
        <f>VLOOKUP(A365,DB_TBL_DATA_FIELDS[[#All],[FIELD_ID]:[RANGE_VALIDATION_MAX]],18,FALSE)</f>
        <v>0</v>
      </c>
      <c r="F365" s="281">
        <f>VLOOKUP(A365,DB_TBL_DATA_FIELDS[[#All],[FIELD_ID]:[RANGE_VALIDATION_MAX]],19,FALSE)</f>
        <v>150</v>
      </c>
      <c r="G365" s="281" t="str">
        <f t="shared" ca="1" si="51"/>
        <v/>
      </c>
      <c r="H365" s="215"/>
      <c r="I365" s="194"/>
      <c r="J365" s="153"/>
      <c r="K365" s="194"/>
      <c r="L365" s="153"/>
      <c r="M365" s="194"/>
      <c r="N365" s="153"/>
      <c r="O365" s="194"/>
      <c r="P365" s="153"/>
      <c r="Q365" s="194"/>
      <c r="R365" s="153"/>
      <c r="S365" s="194"/>
      <c r="T365" s="153"/>
      <c r="U365" s="194"/>
      <c r="V365" s="153"/>
      <c r="W365" s="194"/>
      <c r="X365" s="153"/>
      <c r="Y365" s="194"/>
    </row>
    <row r="366" spans="1:25" ht="21.95" customHeight="1" thickBot="1" x14ac:dyDescent="0.25">
      <c r="A366" s="273" t="s">
        <v>2975</v>
      </c>
      <c r="B366" s="288" t="str">
        <f>IF(Q594&lt;&gt;"",Q594,"")</f>
        <v/>
      </c>
      <c r="C366" s="281">
        <f ca="1">VLOOKUP(A366,DB_TBL_DATA_FIELDS[[FIELD_ID]:[PCT_CALC_FIELD_STATUS_CODE]],22,FALSE)</f>
        <v>-1</v>
      </c>
      <c r="D366" s="281" t="str">
        <f>IF(VLOOKUP(A366,DB_TBL_DATA_FIELDS[[FIELD_ID]:[ERROR_MESSAGE]],23,FALSE)&lt;&gt;0,VLOOKUP(A366,DB_TBL_DATA_FIELDS[[FIELD_ID]:[ERROR_MESSAGE]],23,FALSE),"")</f>
        <v/>
      </c>
      <c r="E366" s="281">
        <f>VLOOKUP(A366,DB_TBL_DATA_FIELDS[[#All],[FIELD_ID]:[RANGE_VALIDATION_MAX]],18,FALSE)</f>
        <v>0</v>
      </c>
      <c r="F366" s="281">
        <f>VLOOKUP(A366,DB_TBL_DATA_FIELDS[[#All],[FIELD_ID]:[RANGE_VALIDATION_MAX]],19,FALSE)</f>
        <v>25</v>
      </c>
      <c r="G366" s="281" t="str">
        <f t="shared" ca="1" si="51"/>
        <v/>
      </c>
      <c r="H366" s="215"/>
      <c r="I366" s="424" t="str">
        <f>B239</f>
        <v>Development Partner(s)</v>
      </c>
      <c r="J366" s="269"/>
      <c r="K366" s="269"/>
      <c r="L366" s="269"/>
      <c r="M366" s="269"/>
      <c r="N366" s="269"/>
      <c r="O366" s="269"/>
      <c r="P366" s="269"/>
      <c r="Q366" s="269"/>
      <c r="R366" s="269"/>
      <c r="S366" s="269"/>
      <c r="T366" s="269"/>
      <c r="U366" s="269"/>
      <c r="V366" s="269"/>
      <c r="W366" s="269"/>
      <c r="X366" s="167" t="str">
        <f ca="1">"Status: "&amp;$B$233</f>
        <v>Status: Not Started</v>
      </c>
      <c r="Y366" s="194"/>
    </row>
    <row r="367" spans="1:25" ht="21.95" customHeight="1" x14ac:dyDescent="0.2">
      <c r="A367" s="297" t="s">
        <v>2976</v>
      </c>
      <c r="B367" s="297" t="str">
        <f>""</f>
        <v/>
      </c>
      <c r="C367" s="299"/>
      <c r="D367" s="299"/>
      <c r="E367" s="299"/>
      <c r="F367" s="299"/>
      <c r="G367" s="299"/>
      <c r="H367" s="215"/>
      <c r="I367" s="194"/>
      <c r="J367" s="153"/>
      <c r="K367" s="194"/>
      <c r="L367" s="153"/>
      <c r="M367" s="194"/>
      <c r="N367" s="153"/>
      <c r="O367" s="194"/>
      <c r="P367" s="153"/>
      <c r="Q367" s="194"/>
      <c r="R367" s="153"/>
      <c r="S367" s="194"/>
      <c r="T367" s="153"/>
      <c r="U367" s="194"/>
      <c r="V367" s="153"/>
      <c r="W367" s="194"/>
      <c r="X367" s="153"/>
      <c r="Y367" s="194"/>
    </row>
    <row r="368" spans="1:25" ht="21.95" customHeight="1" thickBot="1" x14ac:dyDescent="0.25">
      <c r="A368" s="273" t="s">
        <v>2977</v>
      </c>
      <c r="B368" s="288" t="str">
        <f>IF(U594&lt;&gt;"",U594,"")</f>
        <v/>
      </c>
      <c r="C368" s="281">
        <f ca="1">VLOOKUP(A368,DB_TBL_DATA_FIELDS[[FIELD_ID]:[PCT_CALC_FIELD_STATUS_CODE]],22,FALSE)</f>
        <v>-1</v>
      </c>
      <c r="D368" s="281" t="str">
        <f>IF(VLOOKUP(A368,DB_TBL_DATA_FIELDS[[FIELD_ID]:[ERROR_MESSAGE]],23,FALSE)&lt;&gt;0,VLOOKUP(A368,DB_TBL_DATA_FIELDS[[FIELD_ID]:[ERROR_MESSAGE]],23,FALSE),"")</f>
        <v/>
      </c>
      <c r="E368" s="281">
        <f>VLOOKUP(A368,DB_TBL_DATA_FIELDS[[#All],[FIELD_ID]:[RANGE_VALIDATION_MAX]],18,FALSE)</f>
        <v>0</v>
      </c>
      <c r="F368" s="281">
        <f>VLOOKUP(A368,DB_TBL_DATA_FIELDS[[#All],[FIELD_ID]:[RANGE_VALIDATION_MAX]],19,FALSE)</f>
        <v>100</v>
      </c>
      <c r="G368" s="281" t="str">
        <f t="shared" ca="1" si="51"/>
        <v/>
      </c>
      <c r="H368" s="215"/>
      <c r="I368" s="216" t="s">
        <v>2769</v>
      </c>
      <c r="J368" s="217"/>
      <c r="K368" s="223"/>
      <c r="L368" s="217"/>
      <c r="M368" s="223"/>
      <c r="N368" s="217"/>
      <c r="O368" s="223"/>
      <c r="P368" s="217"/>
      <c r="Q368" s="223"/>
      <c r="R368" s="217"/>
      <c r="S368" s="223"/>
      <c r="T368" s="217"/>
      <c r="U368" s="223"/>
      <c r="V368" s="217"/>
      <c r="W368" s="223"/>
      <c r="X368" s="153"/>
      <c r="Y368" s="194"/>
    </row>
    <row r="369" spans="1:25" ht="21.95" customHeight="1" thickTop="1" x14ac:dyDescent="0.2">
      <c r="A369" s="297" t="s">
        <v>3342</v>
      </c>
      <c r="B369" s="297" t="str">
        <f>""</f>
        <v/>
      </c>
      <c r="C369" s="299"/>
      <c r="D369" s="299"/>
      <c r="E369" s="299"/>
      <c r="F369" s="299"/>
      <c r="G369" s="299"/>
      <c r="H369" s="215"/>
      <c r="I369" s="204" t="s">
        <v>3441</v>
      </c>
      <c r="J369" s="153"/>
      <c r="K369" s="194"/>
      <c r="L369" s="153"/>
      <c r="M369" s="194"/>
      <c r="N369" s="153"/>
      <c r="O369" s="194"/>
      <c r="P369" s="153"/>
      <c r="Q369" s="194"/>
      <c r="R369" s="153"/>
      <c r="S369" s="194"/>
      <c r="T369" s="153"/>
      <c r="U369" s="194"/>
      <c r="V369" s="153"/>
      <c r="W369" s="194"/>
      <c r="X369" s="153"/>
      <c r="Y369" s="194"/>
    </row>
    <row r="370" spans="1:25" ht="21.95" customHeight="1" x14ac:dyDescent="0.2">
      <c r="A370" s="273" t="s">
        <v>3343</v>
      </c>
      <c r="B370" s="296" t="str">
        <f ca="1">VLOOKUP(A370,'$DB.DATA'!D:H,5,FALSE)</f>
        <v/>
      </c>
      <c r="C370" s="281">
        <f ca="1">VLOOKUP(A370,DB_TBL_DATA_FIELDS[[FIELD_ID]:[PCT_CALC_FIELD_STATUS_CODE]],22,FALSE)</f>
        <v>-1</v>
      </c>
      <c r="D370" s="281" t="str">
        <f ca="1">IF(VLOOKUP(A370,DB_TBL_DATA_FIELDS[[FIELD_ID]:[ERROR_MESSAGE]],23,FALSE)&lt;&gt;0,VLOOKUP(A370,DB_TBL_DATA_FIELDS[[FIELD_ID]:[ERROR_MESSAGE]],23,FALSE),"")</f>
        <v/>
      </c>
      <c r="E370" s="281">
        <f>VLOOKUP(A370,DB_TBL_DATA_FIELDS[[#All],[FIELD_ID]:[RANGE_VALIDATION_MAX]],18,FALSE)</f>
        <v>0</v>
      </c>
      <c r="F370" s="281">
        <f>VLOOKUP(A370,DB_TBL_DATA_FIELDS[[#All],[FIELD_ID]:[RANGE_VALIDATION_MAX]],19,FALSE)</f>
        <v>9999999</v>
      </c>
      <c r="G370" s="281" t="str">
        <f t="shared" ref="G370" ca="1" si="55">IF(C370&lt;0,"",C370)</f>
        <v/>
      </c>
      <c r="H370" s="215"/>
      <c r="I370" s="466"/>
      <c r="J370" s="467"/>
      <c r="K370" s="467"/>
      <c r="L370" s="467"/>
      <c r="M370" s="467"/>
      <c r="N370" s="467"/>
      <c r="O370" s="467"/>
      <c r="P370" s="467"/>
      <c r="Q370" s="467"/>
      <c r="R370" s="467"/>
      <c r="S370" s="467"/>
      <c r="T370" s="467"/>
      <c r="U370" s="467"/>
      <c r="V370" s="467"/>
      <c r="W370" s="468"/>
      <c r="X370" s="165" t="str">
        <f ca="1">G240</f>
        <v/>
      </c>
      <c r="Y370" s="194"/>
    </row>
    <row r="371" spans="1:25" ht="21.95" customHeight="1" x14ac:dyDescent="0.2">
      <c r="A371" s="297" t="s">
        <v>2978</v>
      </c>
      <c r="B371" s="298" t="str">
        <f>""</f>
        <v/>
      </c>
      <c r="C371" s="299"/>
      <c r="D371" s="299"/>
      <c r="E371" s="299"/>
      <c r="F371" s="299"/>
      <c r="G371" s="299"/>
      <c r="H371" s="215"/>
      <c r="I371" s="204" t="s">
        <v>3442</v>
      </c>
      <c r="J371" s="153"/>
      <c r="K371" s="194"/>
      <c r="L371" s="153"/>
      <c r="M371" s="194"/>
      <c r="N371" s="153"/>
      <c r="O371" s="194"/>
      <c r="P371" s="153"/>
      <c r="Q371" s="194"/>
      <c r="R371" s="153"/>
      <c r="S371" s="194"/>
      <c r="T371" s="153"/>
      <c r="U371" s="194"/>
      <c r="V371" s="153"/>
      <c r="W371" s="194"/>
      <c r="X371" s="153"/>
      <c r="Y371" s="194"/>
    </row>
    <row r="372" spans="1:25" ht="21.95" customHeight="1" x14ac:dyDescent="0.2">
      <c r="A372" s="297" t="s">
        <v>2979</v>
      </c>
      <c r="B372" s="298" t="str">
        <f>""</f>
        <v/>
      </c>
      <c r="C372" s="299"/>
      <c r="D372" s="299"/>
      <c r="E372" s="299"/>
      <c r="F372" s="299"/>
      <c r="G372" s="299"/>
      <c r="H372" s="215"/>
      <c r="I372" s="466"/>
      <c r="J372" s="467"/>
      <c r="K372" s="467"/>
      <c r="L372" s="467"/>
      <c r="M372" s="467"/>
      <c r="N372" s="467"/>
      <c r="O372" s="467"/>
      <c r="P372" s="467"/>
      <c r="Q372" s="467"/>
      <c r="R372" s="467"/>
      <c r="S372" s="467"/>
      <c r="T372" s="467"/>
      <c r="U372" s="467"/>
      <c r="V372" s="467"/>
      <c r="W372" s="468"/>
      <c r="X372" s="165" t="str">
        <f ca="1">G241</f>
        <v/>
      </c>
      <c r="Y372" s="194"/>
    </row>
    <row r="373" spans="1:25" ht="21.95" customHeight="1" x14ac:dyDescent="0.2">
      <c r="A373" s="297" t="s">
        <v>2980</v>
      </c>
      <c r="B373" s="298" t="str">
        <f>""</f>
        <v/>
      </c>
      <c r="C373" s="299"/>
      <c r="D373" s="299"/>
      <c r="E373" s="299"/>
      <c r="F373" s="299"/>
      <c r="G373" s="299"/>
      <c r="H373" s="215"/>
      <c r="I373" s="209" t="s">
        <v>2770</v>
      </c>
      <c r="J373" s="347"/>
      <c r="K373" s="347"/>
      <c r="L373" s="347"/>
      <c r="M373" s="347"/>
      <c r="N373" s="347"/>
      <c r="O373" s="347"/>
      <c r="P373" s="347"/>
      <c r="Q373" s="347"/>
      <c r="R373" s="347"/>
      <c r="S373" s="347"/>
      <c r="T373" s="347"/>
      <c r="U373" s="347"/>
      <c r="V373" s="347"/>
      <c r="W373" s="175" t="str">
        <f>SUBSTITUTE(SUBSTITUTE(SUBSTITUTE(IF(LEN(B242)&gt;F242,CONFIG_CHAR_LIMIT_TEMPLATE_ERR,CONFIG_CHAR_LIMIT_TEMPLATE),"[diff]",ABS(LEN(B242)-F242)),"[limit]",F242),"[used]",LEN(B242))</f>
        <v>1500 character(s) remaining</v>
      </c>
      <c r="X373" s="153"/>
      <c r="Y373" s="194"/>
    </row>
    <row r="374" spans="1:25" ht="21.95" customHeight="1" x14ac:dyDescent="0.2">
      <c r="A374" s="297" t="s">
        <v>2981</v>
      </c>
      <c r="B374" s="298" t="str">
        <f>""</f>
        <v/>
      </c>
      <c r="C374" s="299"/>
      <c r="D374" s="299"/>
      <c r="E374" s="299"/>
      <c r="F374" s="299"/>
      <c r="G374" s="299"/>
      <c r="H374" s="215"/>
      <c r="I374" s="500"/>
      <c r="J374" s="501"/>
      <c r="K374" s="501"/>
      <c r="L374" s="501"/>
      <c r="M374" s="501"/>
      <c r="N374" s="501"/>
      <c r="O374" s="501"/>
      <c r="P374" s="501"/>
      <c r="Q374" s="501"/>
      <c r="R374" s="501"/>
      <c r="S374" s="501"/>
      <c r="T374" s="501"/>
      <c r="U374" s="501"/>
      <c r="V374" s="501"/>
      <c r="W374" s="502"/>
      <c r="X374" s="165" t="str">
        <f ca="1">G242</f>
        <v/>
      </c>
      <c r="Y374" s="194"/>
    </row>
    <row r="375" spans="1:25" ht="21.95" customHeight="1" x14ac:dyDescent="0.2">
      <c r="A375" s="297" t="s">
        <v>2982</v>
      </c>
      <c r="B375" s="298" t="str">
        <f>""</f>
        <v/>
      </c>
      <c r="C375" s="299"/>
      <c r="D375" s="299"/>
      <c r="E375" s="299"/>
      <c r="F375" s="299"/>
      <c r="G375" s="299"/>
      <c r="H375" s="215"/>
      <c r="I375" s="503"/>
      <c r="J375" s="504"/>
      <c r="K375" s="504"/>
      <c r="L375" s="504"/>
      <c r="M375" s="504"/>
      <c r="N375" s="504"/>
      <c r="O375" s="504"/>
      <c r="P375" s="504"/>
      <c r="Q375" s="504"/>
      <c r="R375" s="504"/>
      <c r="S375" s="504"/>
      <c r="T375" s="504"/>
      <c r="U375" s="504"/>
      <c r="V375" s="504"/>
      <c r="W375" s="505"/>
      <c r="X375" s="153"/>
      <c r="Y375" s="194"/>
    </row>
    <row r="376" spans="1:25" ht="21.95" customHeight="1" x14ac:dyDescent="0.2">
      <c r="A376" s="273" t="s">
        <v>2988</v>
      </c>
      <c r="B376" s="288" t="str">
        <f>IF(O599&lt;&gt;"",O599,"")</f>
        <v/>
      </c>
      <c r="C376" s="281">
        <f ca="1">VLOOKUP(A376,DB_TBL_DATA_FIELDS[[FIELD_ID]:[PCT_CALC_FIELD_STATUS_CODE]],22,FALSE)</f>
        <v>1</v>
      </c>
      <c r="D376" s="281" t="str">
        <f>IF(VLOOKUP(A376,DB_TBL_DATA_FIELDS[[FIELD_ID]:[ERROR_MESSAGE]],23,FALSE)&lt;&gt;0,VLOOKUP(A376,DB_TBL_DATA_FIELDS[[FIELD_ID]:[ERROR_MESSAGE]],23,FALSE),"")</f>
        <v/>
      </c>
      <c r="E376" s="281">
        <f>VLOOKUP(A376,DB_TBL_DATA_FIELDS[[#All],[FIELD_ID]:[RANGE_VALIDATION_MAX]],18,FALSE)</f>
        <v>0</v>
      </c>
      <c r="F376" s="281">
        <f>VLOOKUP(A376,DB_TBL_DATA_FIELDS[[#All],[FIELD_ID]:[RANGE_VALIDATION_MAX]],19,FALSE)</f>
        <v>100</v>
      </c>
      <c r="G376" s="281">
        <f t="shared" ca="1" si="51"/>
        <v>1</v>
      </c>
      <c r="H376" s="215"/>
      <c r="I376" s="503"/>
      <c r="J376" s="504"/>
      <c r="K376" s="504"/>
      <c r="L376" s="504"/>
      <c r="M376" s="504"/>
      <c r="N376" s="504"/>
      <c r="O376" s="504"/>
      <c r="P376" s="504"/>
      <c r="Q376" s="504"/>
      <c r="R376" s="504"/>
      <c r="S376" s="504"/>
      <c r="T376" s="504"/>
      <c r="U376" s="504"/>
      <c r="V376" s="504"/>
      <c r="W376" s="505"/>
      <c r="X376" s="153"/>
      <c r="Y376" s="194"/>
    </row>
    <row r="377" spans="1:25" ht="21.95" customHeight="1" x14ac:dyDescent="0.2">
      <c r="A377" s="290" t="s">
        <v>342</v>
      </c>
      <c r="B377" s="282" t="str">
        <f>"C"&amp;MATCH(LEFT(A377,LEN(A377)-LEN("_RANGE")),A:A,0)+1&amp;":C"&amp;(ROW()-1)</f>
        <v>C350:C376</v>
      </c>
      <c r="C377" s="281"/>
      <c r="D377" s="281"/>
      <c r="E377" s="281"/>
      <c r="F377" s="281"/>
      <c r="G377" s="281"/>
      <c r="H377" s="215"/>
      <c r="I377" s="503"/>
      <c r="J377" s="504"/>
      <c r="K377" s="504"/>
      <c r="L377" s="504"/>
      <c r="M377" s="504"/>
      <c r="N377" s="504"/>
      <c r="O377" s="504"/>
      <c r="P377" s="504"/>
      <c r="Q377" s="504"/>
      <c r="R377" s="504"/>
      <c r="S377" s="504"/>
      <c r="T377" s="504"/>
      <c r="U377" s="504"/>
      <c r="V377" s="504"/>
      <c r="W377" s="505"/>
      <c r="X377" s="153"/>
      <c r="Y377" s="194"/>
    </row>
    <row r="378" spans="1:25" ht="21.95" customHeight="1" x14ac:dyDescent="0.2">
      <c r="A378" s="290" t="s">
        <v>343</v>
      </c>
      <c r="B378" s="282">
        <f ca="1">COUNTIF(INDIRECT($B377),2)</f>
        <v>0</v>
      </c>
      <c r="C378" s="281"/>
      <c r="D378" s="281"/>
      <c r="E378" s="281"/>
      <c r="F378" s="281"/>
      <c r="G378" s="281"/>
      <c r="H378" s="215"/>
      <c r="I378" s="503"/>
      <c r="J378" s="504"/>
      <c r="K378" s="504"/>
      <c r="L378" s="504"/>
      <c r="M378" s="504"/>
      <c r="N378" s="504"/>
      <c r="O378" s="504"/>
      <c r="P378" s="504"/>
      <c r="Q378" s="504"/>
      <c r="R378" s="504"/>
      <c r="S378" s="504"/>
      <c r="T378" s="504"/>
      <c r="U378" s="504"/>
      <c r="V378" s="504"/>
      <c r="W378" s="505"/>
      <c r="X378" s="153"/>
      <c r="Y378" s="194"/>
    </row>
    <row r="379" spans="1:25" ht="21.95" customHeight="1" x14ac:dyDescent="0.2">
      <c r="A379" s="290" t="s">
        <v>344</v>
      </c>
      <c r="B379" s="282">
        <f ca="1">COUNTIF(INDIRECT($B377),0)+COUNTIF(INDIRECT($B377),1)+COUNTIF(INDIRECT($B377),2)</f>
        <v>5</v>
      </c>
      <c r="C379" s="281"/>
      <c r="D379" s="281"/>
      <c r="E379" s="281"/>
      <c r="F379" s="281"/>
      <c r="G379" s="281"/>
      <c r="H379" s="215"/>
      <c r="I379" s="506"/>
      <c r="J379" s="507"/>
      <c r="K379" s="507"/>
      <c r="L379" s="507"/>
      <c r="M379" s="507"/>
      <c r="N379" s="507"/>
      <c r="O379" s="507"/>
      <c r="P379" s="507"/>
      <c r="Q379" s="507"/>
      <c r="R379" s="507"/>
      <c r="S379" s="507"/>
      <c r="T379" s="507"/>
      <c r="U379" s="507"/>
      <c r="V379" s="507"/>
      <c r="W379" s="508"/>
      <c r="X379" s="153"/>
      <c r="Y379" s="194"/>
    </row>
    <row r="380" spans="1:25" ht="21.95" customHeight="1" x14ac:dyDescent="0.2">
      <c r="A380" s="290" t="s">
        <v>345</v>
      </c>
      <c r="B380" s="282">
        <f ca="1">COUNTIF(INDIRECT($B377),0)</f>
        <v>0</v>
      </c>
      <c r="C380" s="281" t="s">
        <v>2607</v>
      </c>
      <c r="D380" s="281"/>
      <c r="E380" s="281"/>
      <c r="F380" s="281"/>
      <c r="G380" s="281"/>
      <c r="H380" s="215"/>
      <c r="I380" s="209" t="s">
        <v>3443</v>
      </c>
      <c r="J380" s="347"/>
      <c r="K380" s="347"/>
      <c r="L380" s="347"/>
      <c r="M380" s="347"/>
      <c r="N380" s="347"/>
      <c r="O380" s="347"/>
      <c r="P380" s="347"/>
      <c r="Q380" s="347"/>
      <c r="R380" s="347"/>
      <c r="S380" s="347"/>
      <c r="T380" s="347"/>
      <c r="U380" s="347"/>
      <c r="V380" s="347"/>
      <c r="W380" s="175" t="str">
        <f>SUBSTITUTE(SUBSTITUTE(SUBSTITUTE(IF(LEN(B243)&gt;F243,CONFIG_CHAR_LIMIT_TEMPLATE_ERR,CONFIG_CHAR_LIMIT_TEMPLATE),"[diff]",ABS(LEN(B243)-F243)),"[limit]",F243),"[used]",LEN(B243))</f>
        <v>2000 character(s) remaining</v>
      </c>
      <c r="X380" s="153"/>
      <c r="Y380" s="194"/>
    </row>
    <row r="381" spans="1:25" ht="21.95" customHeight="1" x14ac:dyDescent="0.2">
      <c r="A381" s="290" t="s">
        <v>346</v>
      </c>
      <c r="B381" s="291">
        <f ca="1">IFERROR(B378/B379,1.01)</f>
        <v>0</v>
      </c>
      <c r="C381" s="281"/>
      <c r="D381" s="281"/>
      <c r="E381" s="281"/>
      <c r="F381" s="281"/>
      <c r="G381" s="281"/>
      <c r="H381" s="215"/>
      <c r="I381" s="500"/>
      <c r="J381" s="501"/>
      <c r="K381" s="501"/>
      <c r="L381" s="501"/>
      <c r="M381" s="501"/>
      <c r="N381" s="501"/>
      <c r="O381" s="501"/>
      <c r="P381" s="501"/>
      <c r="Q381" s="501"/>
      <c r="R381" s="501"/>
      <c r="S381" s="501"/>
      <c r="T381" s="501"/>
      <c r="U381" s="501"/>
      <c r="V381" s="501"/>
      <c r="W381" s="502"/>
      <c r="X381" s="165" t="str">
        <f ca="1">G243</f>
        <v/>
      </c>
      <c r="Y381" s="194"/>
    </row>
    <row r="382" spans="1:25" ht="21.95" customHeight="1" x14ac:dyDescent="0.2">
      <c r="A382" s="290" t="s">
        <v>347</v>
      </c>
      <c r="B382" s="292" t="str">
        <f ca="1">IF(B380&gt;0,"Data Error(s)",IF(B381=0,"Not Started",IF(B381&lt;1,ROUNDUP(B381*100,0)&amp;"% Done",IF(B381&gt;1,"Optional","Complete"))))</f>
        <v>Not Started</v>
      </c>
      <c r="C382" s="281"/>
      <c r="D382" s="281"/>
      <c r="E382" s="281"/>
      <c r="F382" s="281"/>
      <c r="G382" s="281"/>
      <c r="H382" s="215"/>
      <c r="I382" s="503"/>
      <c r="J382" s="504"/>
      <c r="K382" s="504"/>
      <c r="L382" s="504"/>
      <c r="M382" s="504"/>
      <c r="N382" s="504"/>
      <c r="O382" s="504"/>
      <c r="P382" s="504"/>
      <c r="Q382" s="504"/>
      <c r="R382" s="504"/>
      <c r="S382" s="504"/>
      <c r="T382" s="504"/>
      <c r="U382" s="504"/>
      <c r="V382" s="504"/>
      <c r="W382" s="505"/>
      <c r="X382" s="153"/>
      <c r="Y382" s="194"/>
    </row>
    <row r="383" spans="1:25" ht="21.95" customHeight="1" x14ac:dyDescent="0.2">
      <c r="A383" s="290" t="s">
        <v>348</v>
      </c>
      <c r="B383" s="282" t="str">
        <f ca="1">IF(B380&gt;0,0,IF(B381&lt;1,"",2))</f>
        <v/>
      </c>
      <c r="C383" s="281"/>
      <c r="D383" s="281"/>
      <c r="E383" s="281"/>
      <c r="F383" s="281"/>
      <c r="G383" s="281"/>
      <c r="H383" s="215"/>
      <c r="I383" s="503"/>
      <c r="J383" s="504"/>
      <c r="K383" s="504"/>
      <c r="L383" s="504"/>
      <c r="M383" s="504"/>
      <c r="N383" s="504"/>
      <c r="O383" s="504"/>
      <c r="P383" s="504"/>
      <c r="Q383" s="504"/>
      <c r="R383" s="504"/>
      <c r="S383" s="504"/>
      <c r="T383" s="504"/>
      <c r="U383" s="504"/>
      <c r="V383" s="504"/>
      <c r="W383" s="505"/>
      <c r="X383" s="153"/>
      <c r="Y383" s="194"/>
    </row>
    <row r="384" spans="1:25" ht="21.95" customHeight="1" x14ac:dyDescent="0.2">
      <c r="A384" s="290" t="s">
        <v>349</v>
      </c>
      <c r="B384" s="293" t="s">
        <v>2931</v>
      </c>
      <c r="C384" s="281"/>
      <c r="D384" s="281"/>
      <c r="E384" s="281"/>
      <c r="F384" s="281"/>
      <c r="G384" s="281"/>
      <c r="H384" s="215"/>
      <c r="I384" s="503"/>
      <c r="J384" s="504"/>
      <c r="K384" s="504"/>
      <c r="L384" s="504"/>
      <c r="M384" s="504"/>
      <c r="N384" s="504"/>
      <c r="O384" s="504"/>
      <c r="P384" s="504"/>
      <c r="Q384" s="504"/>
      <c r="R384" s="504"/>
      <c r="S384" s="504"/>
      <c r="T384" s="504"/>
      <c r="U384" s="504"/>
      <c r="V384" s="504"/>
      <c r="W384" s="505"/>
      <c r="X384" s="153"/>
      <c r="Y384" s="194"/>
    </row>
    <row r="385" spans="1:25" ht="21.95" customHeight="1" x14ac:dyDescent="0.2">
      <c r="A385" s="294" t="s">
        <v>2346</v>
      </c>
      <c r="B385" s="300">
        <v>0</v>
      </c>
      <c r="C385" s="281" t="s">
        <v>2462</v>
      </c>
      <c r="D385" s="281"/>
      <c r="E385" s="281"/>
      <c r="F385" s="281"/>
      <c r="G385" s="281"/>
      <c r="H385" s="215"/>
      <c r="I385" s="503"/>
      <c r="J385" s="504"/>
      <c r="K385" s="504"/>
      <c r="L385" s="504"/>
      <c r="M385" s="504"/>
      <c r="N385" s="504"/>
      <c r="O385" s="504"/>
      <c r="P385" s="504"/>
      <c r="Q385" s="504"/>
      <c r="R385" s="504"/>
      <c r="S385" s="504"/>
      <c r="T385" s="504"/>
      <c r="U385" s="504"/>
      <c r="V385" s="504"/>
      <c r="W385" s="505"/>
      <c r="X385" s="153"/>
      <c r="Y385" s="194"/>
    </row>
    <row r="386" spans="1:25" ht="21.95" customHeight="1" x14ac:dyDescent="0.2">
      <c r="A386" s="294" t="s">
        <v>2347</v>
      </c>
      <c r="B386" s="282" t="b">
        <f>(B385&gt;0)</f>
        <v>0</v>
      </c>
      <c r="C386" s="281"/>
      <c r="D386" s="281"/>
      <c r="E386" s="281"/>
      <c r="F386" s="281"/>
      <c r="G386" s="281"/>
      <c r="H386" s="215"/>
      <c r="I386" s="503"/>
      <c r="J386" s="504"/>
      <c r="K386" s="504"/>
      <c r="L386" s="504"/>
      <c r="M386" s="504"/>
      <c r="N386" s="504"/>
      <c r="O386" s="504"/>
      <c r="P386" s="504"/>
      <c r="Q386" s="504"/>
      <c r="R386" s="504"/>
      <c r="S386" s="504"/>
      <c r="T386" s="504"/>
      <c r="U386" s="504"/>
      <c r="V386" s="504"/>
      <c r="W386" s="505"/>
      <c r="X386" s="153"/>
      <c r="Y386" s="194"/>
    </row>
    <row r="387" spans="1:25" ht="21.95" customHeight="1" x14ac:dyDescent="0.2">
      <c r="A387" s="440" t="s">
        <v>3911</v>
      </c>
      <c r="B387" s="282">
        <v>7</v>
      </c>
      <c r="C387" s="281"/>
      <c r="D387" s="281"/>
      <c r="E387" s="281"/>
      <c r="F387" s="281"/>
      <c r="G387" s="281"/>
      <c r="H387" s="215"/>
      <c r="I387" s="503"/>
      <c r="J387" s="504"/>
      <c r="K387" s="504"/>
      <c r="L387" s="504"/>
      <c r="M387" s="504"/>
      <c r="N387" s="504"/>
      <c r="O387" s="504"/>
      <c r="P387" s="504"/>
      <c r="Q387" s="504"/>
      <c r="R387" s="504"/>
      <c r="S387" s="504"/>
      <c r="T387" s="504"/>
      <c r="U387" s="504"/>
      <c r="V387" s="504"/>
      <c r="W387" s="505"/>
      <c r="X387" s="153"/>
      <c r="Y387" s="194"/>
    </row>
    <row r="388" spans="1:25" ht="21.95" customHeight="1" x14ac:dyDescent="0.2">
      <c r="A388" s="440" t="s">
        <v>3912</v>
      </c>
      <c r="B388" s="282">
        <f ca="1">DATA_SCORE_NONPROFSPONS_FINAL</f>
        <v>0</v>
      </c>
      <c r="C388" s="281"/>
      <c r="D388" s="281"/>
      <c r="E388" s="281"/>
      <c r="F388" s="281"/>
      <c r="G388" s="281"/>
      <c r="H388" s="215"/>
      <c r="I388" s="503"/>
      <c r="J388" s="504"/>
      <c r="K388" s="504"/>
      <c r="L388" s="504"/>
      <c r="M388" s="504"/>
      <c r="N388" s="504"/>
      <c r="O388" s="504"/>
      <c r="P388" s="504"/>
      <c r="Q388" s="504"/>
      <c r="R388" s="504"/>
      <c r="S388" s="504"/>
      <c r="T388" s="504"/>
      <c r="U388" s="504"/>
      <c r="V388" s="504"/>
      <c r="W388" s="505"/>
      <c r="X388" s="153"/>
      <c r="Y388" s="194"/>
    </row>
    <row r="389" spans="1:25" ht="21.95" customHeight="1" x14ac:dyDescent="0.2">
      <c r="A389" s="440" t="s">
        <v>3913</v>
      </c>
      <c r="B389" s="282" t="str">
        <f>SUBSTITUTE(CONFIG_POINT_HEADER_TEMPLATE,"[MAX]",B387)</f>
        <v>(Maximum Points: 7)</v>
      </c>
      <c r="C389" s="281"/>
      <c r="D389" s="281"/>
      <c r="E389" s="281"/>
      <c r="F389" s="281"/>
      <c r="G389" s="281"/>
      <c r="H389" s="215"/>
      <c r="I389" s="506"/>
      <c r="J389" s="507"/>
      <c r="K389" s="507"/>
      <c r="L389" s="507"/>
      <c r="M389" s="507"/>
      <c r="N389" s="507"/>
      <c r="O389" s="507"/>
      <c r="P389" s="507"/>
      <c r="Q389" s="507"/>
      <c r="R389" s="507"/>
      <c r="S389" s="507"/>
      <c r="T389" s="507"/>
      <c r="U389" s="507"/>
      <c r="V389" s="507"/>
      <c r="W389" s="508"/>
      <c r="X389" s="153"/>
      <c r="Y389" s="194"/>
    </row>
    <row r="390" spans="1:25" ht="20.100000000000001" customHeight="1" x14ac:dyDescent="0.2">
      <c r="A390" s="440" t="s">
        <v>3914</v>
      </c>
      <c r="B390" s="441" t="str">
        <f ca="1">SUBSTITUTE(CONFIG_SCORE_SUBHEADER_TEMPLATE,"[SCORE]",ROUND(B388,2))</f>
        <v>Estimated Score: 0</v>
      </c>
      <c r="C390" s="281"/>
      <c r="D390" s="281"/>
      <c r="E390" s="281"/>
      <c r="F390" s="281"/>
      <c r="G390" s="281"/>
      <c r="H390" s="215"/>
      <c r="I390" s="358" t="s">
        <v>3553</v>
      </c>
      <c r="J390" s="344"/>
      <c r="K390" s="344"/>
      <c r="L390" s="344"/>
      <c r="M390" s="344"/>
      <c r="N390" s="344"/>
      <c r="O390" s="344"/>
      <c r="P390" s="344"/>
      <c r="Q390" s="344"/>
      <c r="R390" s="344"/>
      <c r="S390" s="344"/>
      <c r="T390" s="344"/>
      <c r="U390" s="344"/>
      <c r="V390" s="344"/>
      <c r="W390" s="344"/>
      <c r="X390" s="153"/>
      <c r="Y390" s="194"/>
    </row>
    <row r="391" spans="1:25" ht="39.950000000000003" customHeight="1" x14ac:dyDescent="0.2">
      <c r="A391" s="285" t="s">
        <v>360</v>
      </c>
      <c r="B391" s="305" t="str">
        <f>C391&amp;" "&amp;B406</f>
        <v>Housing for Homeless Households (Maximum Points: 6)</v>
      </c>
      <c r="C391" s="287" t="s">
        <v>3825</v>
      </c>
      <c r="D391" s="287"/>
      <c r="E391" s="287"/>
      <c r="F391" s="287"/>
      <c r="G391" s="172" t="str">
        <f>B401</f>
        <v>Homeless Housing</v>
      </c>
      <c r="H391" s="215"/>
      <c r="I391" s="457" t="s">
        <v>61</v>
      </c>
      <c r="J391" s="458"/>
      <c r="K391" s="457" t="s">
        <v>3554</v>
      </c>
      <c r="L391" s="458"/>
      <c r="M391" s="457" t="s">
        <v>220</v>
      </c>
      <c r="N391" s="458"/>
      <c r="O391" s="457" t="s">
        <v>274</v>
      </c>
      <c r="P391" s="458"/>
      <c r="Q391" s="457" t="s">
        <v>3555</v>
      </c>
      <c r="R391" s="458"/>
      <c r="S391" s="457" t="s">
        <v>3556</v>
      </c>
      <c r="T391" s="458"/>
      <c r="U391" s="589" t="s">
        <v>3557</v>
      </c>
      <c r="V391" s="590"/>
      <c r="W391" s="591"/>
      <c r="X391" s="165" t="str">
        <f ca="1">G244</f>
        <v/>
      </c>
      <c r="Y391" s="194"/>
    </row>
    <row r="392" spans="1:25" ht="39.950000000000003" customHeight="1" x14ac:dyDescent="0.2">
      <c r="A392" s="273" t="s">
        <v>3027</v>
      </c>
      <c r="B392" s="288" t="str">
        <f>IF(W612&lt;&gt;"",W612,"")</f>
        <v/>
      </c>
      <c r="C392" s="281">
        <f ca="1">VLOOKUP(A392,DB_TBL_DATA_FIELDS[[FIELD_ID]:[PCT_CALC_FIELD_STATUS_CODE]],22,FALSE)</f>
        <v>1</v>
      </c>
      <c r="D392" s="281" t="str">
        <f ca="1">IF(VLOOKUP(A392,DB_TBL_DATA_FIELDS[[FIELD_ID]:[ERROR_MESSAGE]],23,FALSE)&lt;&gt;0,VLOOKUP(A392,DB_TBL_DATA_FIELDS[[FIELD_ID]:[ERROR_MESSAGE]],23,FALSE),"")</f>
        <v/>
      </c>
      <c r="E392" s="281">
        <f>VLOOKUP(A392,DB_TBL_DATA_FIELDS[[#All],[FIELD_ID]:[RANGE_VALIDATION_MAX]],18,FALSE)</f>
        <v>0</v>
      </c>
      <c r="F392" s="281">
        <f>VLOOKUP(A392,DB_TBL_DATA_FIELDS[[#All],[FIELD_ID]:[RANGE_VALIDATION_MAX]],19,FALSE)</f>
        <v>999999999999</v>
      </c>
      <c r="G392" s="281">
        <f ca="1">IF(C392&lt;0,"",C392)</f>
        <v>1</v>
      </c>
      <c r="H392" s="215"/>
      <c r="I392" s="592"/>
      <c r="J392" s="592"/>
      <c r="K392" s="593"/>
      <c r="L392" s="593"/>
      <c r="M392" s="592"/>
      <c r="N392" s="592"/>
      <c r="O392" s="593"/>
      <c r="P392" s="593"/>
      <c r="Q392" s="593"/>
      <c r="R392" s="593"/>
      <c r="S392" s="592"/>
      <c r="T392" s="592"/>
      <c r="U392" s="592"/>
      <c r="V392" s="592"/>
      <c r="W392" s="592"/>
      <c r="Y392" s="194"/>
    </row>
    <row r="393" spans="1:25" ht="39.950000000000003" customHeight="1" x14ac:dyDescent="0.2">
      <c r="A393" s="273" t="s">
        <v>3028</v>
      </c>
      <c r="B393" s="288" t="str">
        <f>IF(I618&lt;&gt;"",I618,"")</f>
        <v/>
      </c>
      <c r="C393" s="281">
        <f ca="1">VLOOKUP(A393,DB_TBL_DATA_FIELDS[[FIELD_ID]:[PCT_CALC_FIELD_STATUS_CODE]],22,FALSE)</f>
        <v>-1</v>
      </c>
      <c r="D393" s="281" t="str">
        <f>IF(VLOOKUP(A393,DB_TBL_DATA_FIELDS[[FIELD_ID]:[ERROR_MESSAGE]],23,FALSE)&lt;&gt;0,VLOOKUP(A393,DB_TBL_DATA_FIELDS[[FIELD_ID]:[ERROR_MESSAGE]],23,FALSE),"")</f>
        <v/>
      </c>
      <c r="E393" s="281">
        <f>VLOOKUP(A393,DB_TBL_DATA_FIELDS[[#All],[FIELD_ID]:[RANGE_VALIDATION_MAX]],18,FALSE)</f>
        <v>0</v>
      </c>
      <c r="F393" s="281">
        <f>VLOOKUP(A393,DB_TBL_DATA_FIELDS[[#All],[FIELD_ID]:[RANGE_VALIDATION_MAX]],19,FALSE)</f>
        <v>2000</v>
      </c>
      <c r="G393" s="281" t="str">
        <f t="shared" ref="G393" ca="1" si="56">IF(C393&lt;0,"",C393)</f>
        <v/>
      </c>
      <c r="H393" s="215"/>
      <c r="I393" s="592"/>
      <c r="J393" s="592"/>
      <c r="K393" s="593"/>
      <c r="L393" s="593"/>
      <c r="M393" s="592"/>
      <c r="N393" s="592"/>
      <c r="O393" s="593"/>
      <c r="P393" s="593"/>
      <c r="Q393" s="593"/>
      <c r="R393" s="593"/>
      <c r="S393" s="592"/>
      <c r="T393" s="592"/>
      <c r="U393" s="592"/>
      <c r="V393" s="592"/>
      <c r="W393" s="592"/>
      <c r="X393" s="153"/>
      <c r="Y393" s="194"/>
    </row>
    <row r="394" spans="1:25" ht="39.950000000000003" customHeight="1" x14ac:dyDescent="0.2">
      <c r="A394" s="290" t="s">
        <v>361</v>
      </c>
      <c r="B394" s="282" t="str">
        <f>"C"&amp;MATCH(LEFT(A394,LEN(A394)-LEN("_RANGE")),A:A,0)+1&amp;":C"&amp;(ROW()-1)</f>
        <v>C392:C393</v>
      </c>
      <c r="C394" s="281"/>
      <c r="D394" s="281"/>
      <c r="E394" s="281"/>
      <c r="F394" s="281"/>
      <c r="G394" s="281"/>
      <c r="H394" s="215"/>
      <c r="I394" s="592"/>
      <c r="J394" s="592"/>
      <c r="K394" s="593"/>
      <c r="L394" s="593"/>
      <c r="M394" s="592"/>
      <c r="N394" s="592"/>
      <c r="O394" s="593"/>
      <c r="P394" s="593"/>
      <c r="Q394" s="593"/>
      <c r="R394" s="593"/>
      <c r="S394" s="592"/>
      <c r="T394" s="592"/>
      <c r="U394" s="592"/>
      <c r="V394" s="592"/>
      <c r="W394" s="592"/>
      <c r="X394" s="153"/>
      <c r="Y394" s="194"/>
    </row>
    <row r="395" spans="1:25" ht="39.950000000000003" customHeight="1" x14ac:dyDescent="0.2">
      <c r="A395" s="290" t="s">
        <v>362</v>
      </c>
      <c r="B395" s="282">
        <f ca="1">COUNTIF(INDIRECT($B394),2)</f>
        <v>0</v>
      </c>
      <c r="C395" s="281"/>
      <c r="D395" s="281"/>
      <c r="E395" s="281"/>
      <c r="F395" s="281"/>
      <c r="G395" s="281"/>
      <c r="H395" s="215"/>
      <c r="I395" s="592"/>
      <c r="J395" s="592"/>
      <c r="K395" s="593"/>
      <c r="L395" s="593"/>
      <c r="M395" s="592"/>
      <c r="N395" s="592"/>
      <c r="O395" s="593"/>
      <c r="P395" s="593"/>
      <c r="Q395" s="593"/>
      <c r="R395" s="593"/>
      <c r="S395" s="592"/>
      <c r="T395" s="592"/>
      <c r="U395" s="592"/>
      <c r="V395" s="592"/>
      <c r="W395" s="592"/>
      <c r="X395" s="153"/>
      <c r="Y395" s="194"/>
    </row>
    <row r="396" spans="1:25" ht="39.950000000000003" customHeight="1" x14ac:dyDescent="0.2">
      <c r="A396" s="290" t="s">
        <v>363</v>
      </c>
      <c r="B396" s="282">
        <f ca="1">COUNTIF(INDIRECT($B394),0)+COUNTIF(INDIRECT($B394),1)+COUNTIF(INDIRECT($B394),2)</f>
        <v>1</v>
      </c>
      <c r="C396" s="281"/>
      <c r="D396" s="281"/>
      <c r="E396" s="281"/>
      <c r="F396" s="281"/>
      <c r="G396" s="281"/>
      <c r="H396" s="215"/>
      <c r="I396" s="592"/>
      <c r="J396" s="592"/>
      <c r="K396" s="593"/>
      <c r="L396" s="593"/>
      <c r="M396" s="592"/>
      <c r="N396" s="592"/>
      <c r="O396" s="593"/>
      <c r="P396" s="593"/>
      <c r="Q396" s="593"/>
      <c r="R396" s="593"/>
      <c r="S396" s="592"/>
      <c r="T396" s="592"/>
      <c r="U396" s="592"/>
      <c r="V396" s="592"/>
      <c r="W396" s="592"/>
      <c r="X396" s="153"/>
      <c r="Y396" s="194"/>
    </row>
    <row r="397" spans="1:25" ht="39.950000000000003" customHeight="1" x14ac:dyDescent="0.2">
      <c r="A397" s="290" t="s">
        <v>364</v>
      </c>
      <c r="B397" s="282">
        <f ca="1">COUNTIF(INDIRECT($B394),0)</f>
        <v>0</v>
      </c>
      <c r="C397" s="281" t="s">
        <v>2607</v>
      </c>
      <c r="D397" s="281"/>
      <c r="E397" s="281"/>
      <c r="F397" s="281"/>
      <c r="G397" s="281"/>
      <c r="H397" s="215"/>
      <c r="I397" s="592"/>
      <c r="J397" s="592"/>
      <c r="K397" s="593"/>
      <c r="L397" s="593"/>
      <c r="M397" s="592"/>
      <c r="N397" s="592"/>
      <c r="O397" s="593"/>
      <c r="P397" s="593"/>
      <c r="Q397" s="593"/>
      <c r="R397" s="593"/>
      <c r="S397" s="592"/>
      <c r="T397" s="592"/>
      <c r="U397" s="592"/>
      <c r="V397" s="592"/>
      <c r="W397" s="592"/>
      <c r="X397" s="153"/>
      <c r="Y397" s="194"/>
    </row>
    <row r="398" spans="1:25" ht="39.950000000000003" customHeight="1" x14ac:dyDescent="0.2">
      <c r="A398" s="290" t="s">
        <v>365</v>
      </c>
      <c r="B398" s="291">
        <f ca="1">IFERROR(B395/B396,1.01)</f>
        <v>0</v>
      </c>
      <c r="C398" s="281"/>
      <c r="D398" s="281"/>
      <c r="E398" s="281"/>
      <c r="F398" s="281"/>
      <c r="G398" s="281"/>
      <c r="H398" s="215"/>
      <c r="I398" s="592"/>
      <c r="J398" s="592"/>
      <c r="K398" s="593"/>
      <c r="L398" s="593"/>
      <c r="M398" s="592"/>
      <c r="N398" s="592"/>
      <c r="O398" s="593"/>
      <c r="P398" s="593"/>
      <c r="Q398" s="593"/>
      <c r="R398" s="593"/>
      <c r="S398" s="592"/>
      <c r="T398" s="592"/>
      <c r="U398" s="592"/>
      <c r="V398" s="592"/>
      <c r="W398" s="592"/>
      <c r="X398" s="153"/>
      <c r="Y398" s="194"/>
    </row>
    <row r="399" spans="1:25" ht="39.950000000000003" customHeight="1" x14ac:dyDescent="0.2">
      <c r="A399" s="290" t="s">
        <v>366</v>
      </c>
      <c r="B399" s="292" t="str">
        <f ca="1">IF(B397&gt;0,"Data Error(s)",IF(B398=0,"Not Started",IF(B398&lt;1,ROUNDUP(B398*100,0)&amp;"% Done",IF(B398&gt;1,"Optional","Complete"))))</f>
        <v>Not Started</v>
      </c>
      <c r="C399" s="281"/>
      <c r="D399" s="281"/>
      <c r="E399" s="281"/>
      <c r="F399" s="281"/>
      <c r="G399" s="281"/>
      <c r="H399" s="215"/>
      <c r="I399" s="592"/>
      <c r="J399" s="592"/>
      <c r="K399" s="593"/>
      <c r="L399" s="593"/>
      <c r="M399" s="592"/>
      <c r="N399" s="592"/>
      <c r="O399" s="593"/>
      <c r="P399" s="593"/>
      <c r="Q399" s="593"/>
      <c r="R399" s="593"/>
      <c r="S399" s="592"/>
      <c r="T399" s="592"/>
      <c r="U399" s="592"/>
      <c r="V399" s="592"/>
      <c r="W399" s="592"/>
      <c r="X399" s="153"/>
      <c r="Y399" s="194"/>
    </row>
    <row r="400" spans="1:25" ht="39.950000000000003" customHeight="1" x14ac:dyDescent="0.2">
      <c r="A400" s="290" t="s">
        <v>367</v>
      </c>
      <c r="B400" s="282" t="str">
        <f ca="1">IF(B397&gt;0,0,IF(B398&lt;1,"",2))</f>
        <v/>
      </c>
      <c r="C400" s="281"/>
      <c r="D400" s="281"/>
      <c r="E400" s="281"/>
      <c r="F400" s="281"/>
      <c r="G400" s="281"/>
      <c r="H400" s="215"/>
      <c r="I400" s="592"/>
      <c r="J400" s="592"/>
      <c r="K400" s="593"/>
      <c r="L400" s="593"/>
      <c r="M400" s="592"/>
      <c r="N400" s="592"/>
      <c r="O400" s="593"/>
      <c r="P400" s="593"/>
      <c r="Q400" s="593"/>
      <c r="R400" s="593"/>
      <c r="S400" s="592"/>
      <c r="T400" s="592"/>
      <c r="U400" s="592"/>
      <c r="V400" s="592"/>
      <c r="W400" s="592"/>
      <c r="X400" s="153"/>
      <c r="Y400" s="194"/>
    </row>
    <row r="401" spans="1:25" ht="39.950000000000003" customHeight="1" x14ac:dyDescent="0.2">
      <c r="A401" s="290" t="s">
        <v>368</v>
      </c>
      <c r="B401" s="293" t="s">
        <v>3024</v>
      </c>
      <c r="C401" s="281"/>
      <c r="D401" s="281"/>
      <c r="E401" s="281"/>
      <c r="F401" s="281"/>
      <c r="G401" s="281"/>
      <c r="H401" s="215"/>
      <c r="I401" s="592"/>
      <c r="J401" s="592"/>
      <c r="K401" s="593"/>
      <c r="L401" s="593"/>
      <c r="M401" s="592"/>
      <c r="N401" s="592"/>
      <c r="O401" s="593"/>
      <c r="P401" s="593"/>
      <c r="Q401" s="593"/>
      <c r="R401" s="593"/>
      <c r="S401" s="592"/>
      <c r="T401" s="592"/>
      <c r="U401" s="592"/>
      <c r="V401" s="592"/>
      <c r="W401" s="592"/>
      <c r="X401" s="153"/>
      <c r="Y401" s="194"/>
    </row>
    <row r="402" spans="1:25" ht="20.100000000000001" customHeight="1" x14ac:dyDescent="0.2">
      <c r="A402" s="294" t="s">
        <v>2344</v>
      </c>
      <c r="B402" s="282">
        <v>0</v>
      </c>
      <c r="C402" s="281" t="s">
        <v>2462</v>
      </c>
      <c r="D402" s="281"/>
      <c r="E402" s="281"/>
      <c r="F402" s="281"/>
      <c r="G402" s="281"/>
      <c r="H402" s="215"/>
      <c r="I402" s="231" t="s">
        <v>3561</v>
      </c>
      <c r="J402" s="204"/>
      <c r="K402" s="204"/>
      <c r="L402" s="204"/>
      <c r="M402" s="204"/>
      <c r="N402" s="204"/>
      <c r="O402" s="204"/>
      <c r="P402" s="204"/>
      <c r="Q402" s="204"/>
      <c r="R402" s="204"/>
      <c r="S402" s="204"/>
      <c r="T402" s="204"/>
      <c r="U402" s="204"/>
      <c r="V402" s="204"/>
      <c r="W402" s="204"/>
      <c r="X402" s="153"/>
      <c r="Y402" s="194"/>
    </row>
    <row r="403" spans="1:25" ht="39.950000000000003" customHeight="1" x14ac:dyDescent="0.2">
      <c r="A403" s="294" t="s">
        <v>2345</v>
      </c>
      <c r="B403" s="282" t="b">
        <f>(B402&gt;0)</f>
        <v>0</v>
      </c>
      <c r="C403" s="281"/>
      <c r="D403" s="281"/>
      <c r="E403" s="281"/>
      <c r="F403" s="281"/>
      <c r="G403" s="281"/>
      <c r="H403" s="215"/>
      <c r="I403" s="457" t="s">
        <v>61</v>
      </c>
      <c r="J403" s="458"/>
      <c r="K403" s="457" t="s">
        <v>3554</v>
      </c>
      <c r="L403" s="458"/>
      <c r="M403" s="457" t="s">
        <v>220</v>
      </c>
      <c r="N403" s="458"/>
      <c r="O403" s="457" t="s">
        <v>274</v>
      </c>
      <c r="P403" s="458"/>
      <c r="Q403" s="457" t="s">
        <v>3555</v>
      </c>
      <c r="R403" s="458"/>
      <c r="S403" s="457" t="s">
        <v>3556</v>
      </c>
      <c r="T403" s="458"/>
      <c r="U403" s="589" t="s">
        <v>3557</v>
      </c>
      <c r="V403" s="590"/>
      <c r="W403" s="591"/>
      <c r="X403" s="165" t="str">
        <f ca="1">G245</f>
        <v/>
      </c>
      <c r="Y403" s="194"/>
    </row>
    <row r="404" spans="1:25" ht="39.950000000000003" customHeight="1" x14ac:dyDescent="0.2">
      <c r="A404" s="440" t="s">
        <v>3907</v>
      </c>
      <c r="B404" s="282">
        <v>6</v>
      </c>
      <c r="C404" s="281"/>
      <c r="D404" s="281"/>
      <c r="E404" s="281"/>
      <c r="F404" s="281"/>
      <c r="G404" s="281"/>
      <c r="H404" s="215"/>
      <c r="I404" s="592"/>
      <c r="J404" s="592"/>
      <c r="K404" s="593"/>
      <c r="L404" s="593"/>
      <c r="M404" s="592"/>
      <c r="N404" s="592"/>
      <c r="O404" s="593"/>
      <c r="P404" s="593"/>
      <c r="Q404" s="593"/>
      <c r="R404" s="593"/>
      <c r="S404" s="592"/>
      <c r="T404" s="592"/>
      <c r="U404" s="592"/>
      <c r="V404" s="592"/>
      <c r="W404" s="592"/>
      <c r="Y404" s="194"/>
    </row>
    <row r="405" spans="1:25" ht="39.950000000000003" customHeight="1" x14ac:dyDescent="0.2">
      <c r="A405" s="440" t="s">
        <v>3908</v>
      </c>
      <c r="B405" s="282">
        <f ca="1">DATA_SCORE_HOMELESS_FINAL</f>
        <v>0</v>
      </c>
      <c r="C405" s="281"/>
      <c r="D405" s="281"/>
      <c r="E405" s="281"/>
      <c r="F405" s="281"/>
      <c r="G405" s="281"/>
      <c r="H405" s="215"/>
      <c r="I405" s="592"/>
      <c r="J405" s="592"/>
      <c r="K405" s="593"/>
      <c r="L405" s="593"/>
      <c r="M405" s="592"/>
      <c r="N405" s="592"/>
      <c r="O405" s="593"/>
      <c r="P405" s="593"/>
      <c r="Q405" s="593"/>
      <c r="R405" s="593"/>
      <c r="S405" s="592"/>
      <c r="T405" s="592"/>
      <c r="U405" s="592"/>
      <c r="V405" s="592"/>
      <c r="W405" s="592"/>
      <c r="X405" s="153"/>
      <c r="Y405" s="194"/>
    </row>
    <row r="406" spans="1:25" ht="39.950000000000003" customHeight="1" x14ac:dyDescent="0.2">
      <c r="A406" s="440" t="s">
        <v>3909</v>
      </c>
      <c r="B406" s="282" t="str">
        <f>SUBSTITUTE(CONFIG_POINT_HEADER_TEMPLATE,"[MAX]",B404)</f>
        <v>(Maximum Points: 6)</v>
      </c>
      <c r="C406" s="281"/>
      <c r="D406" s="281"/>
      <c r="E406" s="281"/>
      <c r="F406" s="281"/>
      <c r="G406" s="281"/>
      <c r="H406" s="215"/>
      <c r="I406" s="592"/>
      <c r="J406" s="592"/>
      <c r="K406" s="593"/>
      <c r="L406" s="593"/>
      <c r="M406" s="592"/>
      <c r="N406" s="592"/>
      <c r="O406" s="593"/>
      <c r="P406" s="593"/>
      <c r="Q406" s="593"/>
      <c r="R406" s="593"/>
      <c r="S406" s="592"/>
      <c r="T406" s="592"/>
      <c r="U406" s="592"/>
      <c r="V406" s="592"/>
      <c r="W406" s="592"/>
      <c r="X406" s="153"/>
      <c r="Y406" s="194"/>
    </row>
    <row r="407" spans="1:25" ht="39.950000000000003" customHeight="1" x14ac:dyDescent="0.2">
      <c r="A407" s="440" t="s">
        <v>3910</v>
      </c>
      <c r="B407" s="441" t="str">
        <f ca="1">SUBSTITUTE(CONFIG_SCORE_SUBHEADER_TEMPLATE,"[SCORE]",ROUND(B405,2))</f>
        <v>Estimated Score: 0</v>
      </c>
      <c r="C407" s="281"/>
      <c r="D407" s="281"/>
      <c r="E407" s="281"/>
      <c r="F407" s="281"/>
      <c r="G407" s="281"/>
      <c r="H407" s="215"/>
      <c r="I407" s="592"/>
      <c r="J407" s="592"/>
      <c r="K407" s="593"/>
      <c r="L407" s="593"/>
      <c r="M407" s="592"/>
      <c r="N407" s="592"/>
      <c r="O407" s="593"/>
      <c r="P407" s="593"/>
      <c r="Q407" s="593"/>
      <c r="R407" s="593"/>
      <c r="S407" s="592"/>
      <c r="T407" s="592"/>
      <c r="U407" s="592"/>
      <c r="V407" s="592"/>
      <c r="W407" s="592"/>
      <c r="X407" s="153"/>
      <c r="Y407" s="194"/>
    </row>
    <row r="408" spans="1:25" ht="39.950000000000003" customHeight="1" x14ac:dyDescent="0.2">
      <c r="A408" s="285" t="s">
        <v>351</v>
      </c>
      <c r="B408" s="305" t="str">
        <f>C408&amp;" "&amp;B427</f>
        <v>Promotion of Empowerment (Maximum Points: 5)</v>
      </c>
      <c r="C408" s="287" t="s">
        <v>3032</v>
      </c>
      <c r="D408" s="287"/>
      <c r="E408" s="287"/>
      <c r="F408" s="287"/>
      <c r="G408" s="172" t="str">
        <f>B422</f>
        <v>Promotion of Empowerment</v>
      </c>
      <c r="H408" s="215"/>
      <c r="I408" s="592"/>
      <c r="J408" s="592"/>
      <c r="K408" s="593"/>
      <c r="L408" s="593"/>
      <c r="M408" s="592"/>
      <c r="N408" s="592"/>
      <c r="O408" s="593"/>
      <c r="P408" s="593"/>
      <c r="Q408" s="593"/>
      <c r="R408" s="593"/>
      <c r="S408" s="592"/>
      <c r="T408" s="592"/>
      <c r="U408" s="592"/>
      <c r="V408" s="592"/>
      <c r="W408" s="592"/>
      <c r="X408" s="153"/>
      <c r="Y408" s="194"/>
    </row>
    <row r="409" spans="1:25" ht="39.950000000000003" customHeight="1" x14ac:dyDescent="0.2">
      <c r="A409" s="273" t="s">
        <v>3041</v>
      </c>
      <c r="B409" s="288" t="str">
        <f>IF(W684="","",IF(UPPER(W684)="YES",TRUE,FALSE))</f>
        <v/>
      </c>
      <c r="C409" s="281">
        <f ca="1">VLOOKUP(A409,DB_TBL_DATA_FIELDS[[FIELD_ID]:[PCT_CALC_FIELD_STATUS_CODE]],22,FALSE)</f>
        <v>1</v>
      </c>
      <c r="D409" s="281" t="str">
        <f>IF(VLOOKUP(A409,DB_TBL_DATA_FIELDS[[FIELD_ID]:[ERROR_MESSAGE]],23,FALSE)&lt;&gt;0,VLOOKUP(A409,DB_TBL_DATA_FIELDS[[FIELD_ID]:[ERROR_MESSAGE]],23,FALSE),"")</f>
        <v/>
      </c>
      <c r="E409" s="281">
        <f>VLOOKUP(A409,DB_TBL_DATA_FIELDS[[#All],[FIELD_ID]:[RANGE_VALIDATION_MAX]],18,FALSE)</f>
        <v>0</v>
      </c>
      <c r="F409" s="281">
        <f>VLOOKUP(A409,DB_TBL_DATA_FIELDS[[#All],[FIELD_ID]:[RANGE_VALIDATION_MAX]],19,FALSE)</f>
        <v>1</v>
      </c>
      <c r="G409" s="281">
        <f ca="1">IF(C409&lt;0,"",C409)</f>
        <v>1</v>
      </c>
      <c r="H409" s="215"/>
      <c r="I409" s="592"/>
      <c r="J409" s="592"/>
      <c r="K409" s="593"/>
      <c r="L409" s="593"/>
      <c r="M409" s="592"/>
      <c r="N409" s="592"/>
      <c r="O409" s="593"/>
      <c r="P409" s="593"/>
      <c r="Q409" s="593"/>
      <c r="R409" s="593"/>
      <c r="S409" s="592"/>
      <c r="T409" s="592"/>
      <c r="U409" s="592"/>
      <c r="V409" s="592"/>
      <c r="W409" s="592"/>
      <c r="X409" s="153"/>
      <c r="Y409" s="194"/>
    </row>
    <row r="410" spans="1:25" ht="39.950000000000003" customHeight="1" x14ac:dyDescent="0.2">
      <c r="A410" s="297" t="s">
        <v>3043</v>
      </c>
      <c r="B410" s="298" t="str">
        <f>""</f>
        <v/>
      </c>
      <c r="C410" s="299">
        <f ca="1">VLOOKUP(A410,DB_TBL_DATA_FIELDS[[FIELD_ID]:[PCT_CALC_FIELD_STATUS_CODE]],22,FALSE)</f>
        <v>-1</v>
      </c>
      <c r="D410" s="299" t="str">
        <f>IF(VLOOKUP(A410,DB_TBL_DATA_FIELDS[[FIELD_ID]:[ERROR_MESSAGE]],23,FALSE)&lt;&gt;0,VLOOKUP(A410,DB_TBL_DATA_FIELDS[[FIELD_ID]:[ERROR_MESSAGE]],23,FALSE),"")</f>
        <v/>
      </c>
      <c r="E410" s="299">
        <f>VLOOKUP(A410,DB_TBL_DATA_FIELDS[[#All],[FIELD_ID]:[RANGE_VALIDATION_MAX]],18,FALSE)</f>
        <v>0</v>
      </c>
      <c r="F410" s="299">
        <f>VLOOKUP(A410,DB_TBL_DATA_FIELDS[[#All],[FIELD_ID]:[RANGE_VALIDATION_MAX]],19,FALSE)</f>
        <v>1</v>
      </c>
      <c r="G410" s="299" t="str">
        <f t="shared" ref="G410:G414" ca="1" si="57">IF(C410&lt;0,"",C410)</f>
        <v/>
      </c>
      <c r="H410" s="215"/>
      <c r="I410" s="592"/>
      <c r="J410" s="592"/>
      <c r="K410" s="593"/>
      <c r="L410" s="593"/>
      <c r="M410" s="592"/>
      <c r="N410" s="592"/>
      <c r="O410" s="593"/>
      <c r="P410" s="593"/>
      <c r="Q410" s="593"/>
      <c r="R410" s="593"/>
      <c r="S410" s="592"/>
      <c r="T410" s="592"/>
      <c r="U410" s="592"/>
      <c r="V410" s="592"/>
      <c r="W410" s="592"/>
      <c r="X410" s="153"/>
      <c r="Y410" s="194"/>
    </row>
    <row r="411" spans="1:25" ht="39.950000000000003" customHeight="1" x14ac:dyDescent="0.2">
      <c r="A411" s="273" t="s">
        <v>3044</v>
      </c>
      <c r="B411" s="288" t="str">
        <f>IF(W688="","",IF(UPPER(W688)="YES",TRUE,FALSE))</f>
        <v/>
      </c>
      <c r="C411" s="281">
        <f ca="1">VLOOKUP(A411,DB_TBL_DATA_FIELDS[[FIELD_ID]:[PCT_CALC_FIELD_STATUS_CODE]],22,FALSE)</f>
        <v>1</v>
      </c>
      <c r="D411" s="281" t="str">
        <f>IF(VLOOKUP(A411,DB_TBL_DATA_FIELDS[[FIELD_ID]:[ERROR_MESSAGE]],23,FALSE)&lt;&gt;0,VLOOKUP(A411,DB_TBL_DATA_FIELDS[[FIELD_ID]:[ERROR_MESSAGE]],23,FALSE),"")</f>
        <v/>
      </c>
      <c r="E411" s="281">
        <f>VLOOKUP(A411,DB_TBL_DATA_FIELDS[[#All],[FIELD_ID]:[RANGE_VALIDATION_MAX]],18,FALSE)</f>
        <v>0</v>
      </c>
      <c r="F411" s="281">
        <f>VLOOKUP(A411,DB_TBL_DATA_FIELDS[[#All],[FIELD_ID]:[RANGE_VALIDATION_MAX]],19,FALSE)</f>
        <v>1</v>
      </c>
      <c r="G411" s="281">
        <f t="shared" ca="1" si="57"/>
        <v>1</v>
      </c>
      <c r="H411" s="215"/>
      <c r="I411" s="592"/>
      <c r="J411" s="592"/>
      <c r="K411" s="593"/>
      <c r="L411" s="593"/>
      <c r="M411" s="592"/>
      <c r="N411" s="592"/>
      <c r="O411" s="593"/>
      <c r="P411" s="593"/>
      <c r="Q411" s="593"/>
      <c r="R411" s="593"/>
      <c r="S411" s="592"/>
      <c r="T411" s="592"/>
      <c r="U411" s="592"/>
      <c r="V411" s="592"/>
      <c r="W411" s="592"/>
      <c r="X411" s="153"/>
      <c r="Y411" s="194"/>
    </row>
    <row r="412" spans="1:25" ht="39.950000000000003" customHeight="1" x14ac:dyDescent="0.2">
      <c r="A412" s="273" t="s">
        <v>3045</v>
      </c>
      <c r="B412" s="288" t="str">
        <f>IF(W692="","",IF(UPPER(W692)="YES",TRUE,FALSE))</f>
        <v/>
      </c>
      <c r="C412" s="281">
        <f ca="1">VLOOKUP(A412,DB_TBL_DATA_FIELDS[[FIELD_ID]:[PCT_CALC_FIELD_STATUS_CODE]],22,FALSE)</f>
        <v>1</v>
      </c>
      <c r="D412" s="281" t="str">
        <f>IF(VLOOKUP(A412,DB_TBL_DATA_FIELDS[[FIELD_ID]:[ERROR_MESSAGE]],23,FALSE)&lt;&gt;0,VLOOKUP(A412,DB_TBL_DATA_FIELDS[[FIELD_ID]:[ERROR_MESSAGE]],23,FALSE),"")</f>
        <v/>
      </c>
      <c r="E412" s="281">
        <f>VLOOKUP(A412,DB_TBL_DATA_FIELDS[[#All],[FIELD_ID]:[RANGE_VALIDATION_MAX]],18,FALSE)</f>
        <v>0</v>
      </c>
      <c r="F412" s="281">
        <f>VLOOKUP(A412,DB_TBL_DATA_FIELDS[[#All],[FIELD_ID]:[RANGE_VALIDATION_MAX]],19,FALSE)</f>
        <v>1</v>
      </c>
      <c r="G412" s="281">
        <f t="shared" ca="1" si="57"/>
        <v>1</v>
      </c>
      <c r="H412" s="215"/>
      <c r="I412" s="592"/>
      <c r="J412" s="592"/>
      <c r="K412" s="593"/>
      <c r="L412" s="593"/>
      <c r="M412" s="592"/>
      <c r="N412" s="592"/>
      <c r="O412" s="593"/>
      <c r="P412" s="593"/>
      <c r="Q412" s="593"/>
      <c r="R412" s="593"/>
      <c r="S412" s="592"/>
      <c r="T412" s="592"/>
      <c r="U412" s="592"/>
      <c r="V412" s="592"/>
      <c r="W412" s="592"/>
      <c r="X412" s="153"/>
      <c r="Y412" s="194"/>
    </row>
    <row r="413" spans="1:25" ht="39.950000000000003" customHeight="1" x14ac:dyDescent="0.2">
      <c r="A413" s="273" t="s">
        <v>3046</v>
      </c>
      <c r="B413" s="288" t="str">
        <f>IF(W696="","",IF(UPPER(W696)="YES",TRUE,FALSE))</f>
        <v/>
      </c>
      <c r="C413" s="281">
        <f ca="1">VLOOKUP(A413,DB_TBL_DATA_FIELDS[[FIELD_ID]:[PCT_CALC_FIELD_STATUS_CODE]],22,FALSE)</f>
        <v>1</v>
      </c>
      <c r="D413" s="281" t="str">
        <f>IF(VLOOKUP(A413,DB_TBL_DATA_FIELDS[[FIELD_ID]:[ERROR_MESSAGE]],23,FALSE)&lt;&gt;0,VLOOKUP(A413,DB_TBL_DATA_FIELDS[[FIELD_ID]:[ERROR_MESSAGE]],23,FALSE),"")</f>
        <v/>
      </c>
      <c r="E413" s="281">
        <f>VLOOKUP(A413,DB_TBL_DATA_FIELDS[[#All],[FIELD_ID]:[RANGE_VALIDATION_MAX]],18,FALSE)</f>
        <v>0</v>
      </c>
      <c r="F413" s="281">
        <f>VLOOKUP(A413,DB_TBL_DATA_FIELDS[[#All],[FIELD_ID]:[RANGE_VALIDATION_MAX]],19,FALSE)</f>
        <v>1</v>
      </c>
      <c r="G413" s="281">
        <f t="shared" ca="1" si="57"/>
        <v>1</v>
      </c>
      <c r="H413" s="215"/>
      <c r="I413" s="592"/>
      <c r="J413" s="592"/>
      <c r="K413" s="593"/>
      <c r="L413" s="593"/>
      <c r="M413" s="592"/>
      <c r="N413" s="592"/>
      <c r="O413" s="593"/>
      <c r="P413" s="593"/>
      <c r="Q413" s="593"/>
      <c r="R413" s="593"/>
      <c r="S413" s="592"/>
      <c r="T413" s="592"/>
      <c r="U413" s="592"/>
      <c r="V413" s="592"/>
      <c r="W413" s="592"/>
      <c r="X413" s="153"/>
      <c r="Y413" s="194"/>
    </row>
    <row r="414" spans="1:25" ht="21.95" customHeight="1" x14ac:dyDescent="0.2">
      <c r="A414" s="273" t="s">
        <v>3048</v>
      </c>
      <c r="B414" s="288" t="str">
        <f>IF(W701="","",IF(UPPER(W701)="YES",TRUE,FALSE))</f>
        <v/>
      </c>
      <c r="C414" s="281">
        <f ca="1">VLOOKUP(A414,DB_TBL_DATA_FIELDS[[FIELD_ID]:[PCT_CALC_FIELD_STATUS_CODE]],22,FALSE)</f>
        <v>1</v>
      </c>
      <c r="D414" s="281" t="str">
        <f>IF(VLOOKUP(A414,DB_TBL_DATA_FIELDS[[FIELD_ID]:[ERROR_MESSAGE]],23,FALSE)&lt;&gt;0,VLOOKUP(A414,DB_TBL_DATA_FIELDS[[FIELD_ID]:[ERROR_MESSAGE]],23,FALSE),"")</f>
        <v/>
      </c>
      <c r="E414" s="281">
        <f>VLOOKUP(A414,DB_TBL_DATA_FIELDS[[#All],[FIELD_ID]:[RANGE_VALIDATION_MAX]],18,FALSE)</f>
        <v>0</v>
      </c>
      <c r="F414" s="281">
        <f>VLOOKUP(A414,DB_TBL_DATA_FIELDS[[#All],[FIELD_ID]:[RANGE_VALIDATION_MAX]],19,FALSE)</f>
        <v>1</v>
      </c>
      <c r="G414" s="281">
        <f t="shared" ca="1" si="57"/>
        <v>1</v>
      </c>
      <c r="H414" s="215"/>
      <c r="I414" s="225" t="s">
        <v>2768</v>
      </c>
      <c r="J414" s="204"/>
      <c r="K414" s="204"/>
      <c r="L414" s="204"/>
      <c r="M414" s="204"/>
      <c r="N414" s="204"/>
      <c r="O414" s="204"/>
      <c r="P414" s="204"/>
      <c r="Q414" s="204"/>
      <c r="R414" s="204"/>
      <c r="S414" s="204"/>
      <c r="T414" s="204"/>
      <c r="U414" s="204"/>
      <c r="V414" s="204"/>
      <c r="W414" s="204"/>
      <c r="X414" s="153"/>
      <c r="Y414" s="194"/>
    </row>
    <row r="415" spans="1:25" ht="21.95" customHeight="1" x14ac:dyDescent="0.2">
      <c r="A415" s="290" t="s">
        <v>352</v>
      </c>
      <c r="B415" s="282" t="str">
        <f>"C"&amp;MATCH(LEFT(A415,LEN(A415)-LEN("_RANGE")),A:A,0)+1&amp;":C"&amp;(ROW()-1)</f>
        <v>C409:C414</v>
      </c>
      <c r="C415" s="281"/>
      <c r="D415" s="281"/>
      <c r="E415" s="281"/>
      <c r="F415" s="281"/>
      <c r="G415" s="281"/>
      <c r="H415" s="215"/>
      <c r="I415" s="209"/>
      <c r="J415" s="209"/>
      <c r="K415" s="209"/>
      <c r="L415" s="209"/>
      <c r="M415" s="209"/>
      <c r="N415" s="209"/>
      <c r="O415" s="209"/>
      <c r="P415" s="209"/>
      <c r="Q415" s="209"/>
      <c r="R415" s="209"/>
      <c r="S415" s="209"/>
      <c r="T415" s="209"/>
      <c r="U415" s="209"/>
      <c r="V415" s="209"/>
      <c r="W415" s="175" t="str">
        <f>SUBSTITUTE(SUBSTITUTE(SUBSTITUTE(IF(LEN(B246)&gt;F246,CONFIG_CHAR_LIMIT_TEMPLATE_ERR,CONFIG_CHAR_LIMIT_TEMPLATE),"[diff]",ABS(LEN(B246)-F246)),"[limit]",F246),"[used]",LEN(B246))</f>
        <v>1500 character(s) remaining</v>
      </c>
      <c r="X415" s="153"/>
      <c r="Y415" s="194"/>
    </row>
    <row r="416" spans="1:25" ht="21.95" customHeight="1" x14ac:dyDescent="0.2">
      <c r="A416" s="290" t="s">
        <v>353</v>
      </c>
      <c r="B416" s="282">
        <f ca="1">COUNTIF(INDIRECT($B415),2)</f>
        <v>0</v>
      </c>
      <c r="C416" s="281"/>
      <c r="D416" s="281"/>
      <c r="E416" s="281"/>
      <c r="F416" s="281"/>
      <c r="G416" s="281"/>
      <c r="H416" s="215"/>
      <c r="I416" s="500"/>
      <c r="J416" s="501"/>
      <c r="K416" s="501"/>
      <c r="L416" s="501"/>
      <c r="M416" s="501"/>
      <c r="N416" s="501"/>
      <c r="O416" s="501"/>
      <c r="P416" s="501"/>
      <c r="Q416" s="501"/>
      <c r="R416" s="501"/>
      <c r="S416" s="501"/>
      <c r="T416" s="501"/>
      <c r="U416" s="501"/>
      <c r="V416" s="501"/>
      <c r="W416" s="502"/>
      <c r="X416" s="165" t="str">
        <f ca="1">G246</f>
        <v/>
      </c>
      <c r="Y416" s="194"/>
    </row>
    <row r="417" spans="1:25" ht="21.95" customHeight="1" x14ac:dyDescent="0.2">
      <c r="A417" s="290" t="s">
        <v>354</v>
      </c>
      <c r="B417" s="282">
        <f ca="1">COUNTIF(INDIRECT($B415),0)+COUNTIF(INDIRECT($B415),1)+COUNTIF(INDIRECT($B415),2)</f>
        <v>5</v>
      </c>
      <c r="C417" s="281"/>
      <c r="D417" s="281"/>
      <c r="E417" s="281"/>
      <c r="F417" s="281"/>
      <c r="G417" s="281"/>
      <c r="H417" s="215"/>
      <c r="I417" s="503"/>
      <c r="J417" s="504"/>
      <c r="K417" s="504"/>
      <c r="L417" s="504"/>
      <c r="M417" s="504"/>
      <c r="N417" s="504"/>
      <c r="O417" s="504"/>
      <c r="P417" s="504"/>
      <c r="Q417" s="504"/>
      <c r="R417" s="504"/>
      <c r="S417" s="504"/>
      <c r="T417" s="504"/>
      <c r="U417" s="504"/>
      <c r="V417" s="504"/>
      <c r="W417" s="505"/>
      <c r="X417" s="153"/>
      <c r="Y417" s="194"/>
    </row>
    <row r="418" spans="1:25" ht="21.95" customHeight="1" x14ac:dyDescent="0.2">
      <c r="A418" s="290" t="s">
        <v>355</v>
      </c>
      <c r="B418" s="282">
        <f ca="1">COUNTIF(INDIRECT($B415),0)</f>
        <v>0</v>
      </c>
      <c r="C418" s="281" t="s">
        <v>2607</v>
      </c>
      <c r="D418" s="281"/>
      <c r="E418" s="281"/>
      <c r="F418" s="281"/>
      <c r="G418" s="281"/>
      <c r="H418" s="215"/>
      <c r="I418" s="503"/>
      <c r="J418" s="504"/>
      <c r="K418" s="504"/>
      <c r="L418" s="504"/>
      <c r="M418" s="504"/>
      <c r="N418" s="504"/>
      <c r="O418" s="504"/>
      <c r="P418" s="504"/>
      <c r="Q418" s="504"/>
      <c r="R418" s="504"/>
      <c r="S418" s="504"/>
      <c r="T418" s="504"/>
      <c r="U418" s="504"/>
      <c r="V418" s="504"/>
      <c r="W418" s="505"/>
      <c r="X418" s="153"/>
      <c r="Y418" s="194"/>
    </row>
    <row r="419" spans="1:25" ht="21.95" customHeight="1" x14ac:dyDescent="0.2">
      <c r="A419" s="290" t="s">
        <v>356</v>
      </c>
      <c r="B419" s="291">
        <f ca="1">IFERROR(B416/B417,1.01)</f>
        <v>0</v>
      </c>
      <c r="C419" s="281"/>
      <c r="D419" s="281"/>
      <c r="E419" s="281"/>
      <c r="F419" s="281"/>
      <c r="G419" s="281"/>
      <c r="H419" s="215"/>
      <c r="I419" s="503"/>
      <c r="J419" s="504"/>
      <c r="K419" s="504"/>
      <c r="L419" s="504"/>
      <c r="M419" s="504"/>
      <c r="N419" s="504"/>
      <c r="O419" s="504"/>
      <c r="P419" s="504"/>
      <c r="Q419" s="504"/>
      <c r="R419" s="504"/>
      <c r="S419" s="504"/>
      <c r="T419" s="504"/>
      <c r="U419" s="504"/>
      <c r="V419" s="504"/>
      <c r="W419" s="505"/>
      <c r="X419" s="153"/>
      <c r="Y419" s="194"/>
    </row>
    <row r="420" spans="1:25" ht="21.95" customHeight="1" x14ac:dyDescent="0.2">
      <c r="A420" s="290" t="s">
        <v>357</v>
      </c>
      <c r="B420" s="292" t="str">
        <f ca="1">IF(B418&gt;0,"Data Error(s)",IF(B419=0,"Not Started",IF(B419&lt;1,ROUNDUP(B419*100,0)&amp;"% Done",IF(B419&gt;1,"Optional","Complete"))))</f>
        <v>Not Started</v>
      </c>
      <c r="C420" s="281"/>
      <c r="D420" s="281"/>
      <c r="E420" s="281"/>
      <c r="F420" s="281"/>
      <c r="G420" s="281"/>
      <c r="H420" s="215"/>
      <c r="I420" s="503"/>
      <c r="J420" s="504"/>
      <c r="K420" s="504"/>
      <c r="L420" s="504"/>
      <c r="M420" s="504"/>
      <c r="N420" s="504"/>
      <c r="O420" s="504"/>
      <c r="P420" s="504"/>
      <c r="Q420" s="504"/>
      <c r="R420" s="504"/>
      <c r="S420" s="504"/>
      <c r="T420" s="504"/>
      <c r="U420" s="504"/>
      <c r="V420" s="504"/>
      <c r="W420" s="505"/>
      <c r="X420" s="153"/>
      <c r="Y420" s="194"/>
    </row>
    <row r="421" spans="1:25" ht="21.95" customHeight="1" x14ac:dyDescent="0.2">
      <c r="A421" s="290" t="s">
        <v>358</v>
      </c>
      <c r="B421" s="282" t="str">
        <f ca="1">IF(B418&gt;0,0,IF(B419&lt;1,"",2))</f>
        <v/>
      </c>
      <c r="C421" s="281"/>
      <c r="D421" s="281"/>
      <c r="E421" s="281"/>
      <c r="F421" s="281"/>
      <c r="G421" s="281"/>
      <c r="H421" s="215"/>
      <c r="I421" s="506"/>
      <c r="J421" s="507"/>
      <c r="K421" s="507"/>
      <c r="L421" s="507"/>
      <c r="M421" s="507"/>
      <c r="N421" s="507"/>
      <c r="O421" s="507"/>
      <c r="P421" s="507"/>
      <c r="Q421" s="507"/>
      <c r="R421" s="507"/>
      <c r="S421" s="507"/>
      <c r="T421" s="507"/>
      <c r="U421" s="507"/>
      <c r="V421" s="507"/>
      <c r="W421" s="508"/>
      <c r="X421" s="153"/>
      <c r="Y421" s="194"/>
    </row>
    <row r="422" spans="1:25" ht="21.95" customHeight="1" x14ac:dyDescent="0.2">
      <c r="A422" s="290" t="s">
        <v>359</v>
      </c>
      <c r="B422" s="293" t="s">
        <v>3032</v>
      </c>
      <c r="C422" s="281"/>
      <c r="D422" s="281"/>
      <c r="E422" s="281"/>
      <c r="F422" s="281"/>
      <c r="G422" s="281"/>
      <c r="H422" s="215"/>
      <c r="I422" s="194"/>
      <c r="J422" s="153"/>
      <c r="K422" s="194"/>
      <c r="L422" s="153"/>
      <c r="M422" s="194"/>
      <c r="N422" s="153"/>
      <c r="O422" s="194"/>
      <c r="P422" s="153"/>
      <c r="Q422" s="194"/>
      <c r="R422" s="153"/>
      <c r="S422" s="194"/>
      <c r="T422" s="153"/>
      <c r="U422" s="194"/>
      <c r="V422" s="153"/>
      <c r="W422" s="194"/>
      <c r="X422" s="153"/>
      <c r="Y422" s="194"/>
    </row>
    <row r="423" spans="1:25" ht="21.95" customHeight="1" thickBot="1" x14ac:dyDescent="0.25">
      <c r="A423" s="294" t="s">
        <v>2374</v>
      </c>
      <c r="B423" s="282">
        <v>0</v>
      </c>
      <c r="C423" s="281" t="s">
        <v>2462</v>
      </c>
      <c r="D423" s="281"/>
      <c r="E423" s="281"/>
      <c r="F423" s="281"/>
      <c r="G423" s="281"/>
      <c r="H423" s="215"/>
      <c r="I423" s="216" t="s">
        <v>2771</v>
      </c>
      <c r="J423" s="217"/>
      <c r="K423" s="223"/>
      <c r="L423" s="217"/>
      <c r="M423" s="223"/>
      <c r="N423" s="217"/>
      <c r="O423" s="223"/>
      <c r="P423" s="217"/>
      <c r="Q423" s="223"/>
      <c r="R423" s="217"/>
      <c r="S423" s="223"/>
      <c r="T423" s="217"/>
      <c r="U423" s="223"/>
      <c r="V423" s="217"/>
      <c r="W423" s="223"/>
      <c r="X423" s="153"/>
      <c r="Y423" s="194"/>
    </row>
    <row r="424" spans="1:25" ht="21.95" customHeight="1" thickTop="1" x14ac:dyDescent="0.2">
      <c r="A424" s="294" t="s">
        <v>2375</v>
      </c>
      <c r="B424" s="282" t="b">
        <f>(B423&gt;0)</f>
        <v>0</v>
      </c>
      <c r="C424" s="281"/>
      <c r="D424" s="281"/>
      <c r="E424" s="281"/>
      <c r="F424" s="281"/>
      <c r="G424" s="281"/>
      <c r="H424" s="215"/>
      <c r="I424" s="204" t="s">
        <v>3441</v>
      </c>
      <c r="J424" s="153"/>
      <c r="K424" s="194"/>
      <c r="L424" s="153"/>
      <c r="M424" s="194"/>
      <c r="N424" s="153"/>
      <c r="O424" s="194"/>
      <c r="P424" s="153"/>
      <c r="Q424" s="194"/>
      <c r="R424" s="153"/>
      <c r="S424" s="194"/>
      <c r="T424" s="153"/>
      <c r="U424" s="194"/>
      <c r="V424" s="153"/>
      <c r="W424" s="194"/>
      <c r="X424" s="153"/>
      <c r="Y424" s="194"/>
    </row>
    <row r="425" spans="1:25" ht="21.95" customHeight="1" x14ac:dyDescent="0.2">
      <c r="A425" s="440" t="s">
        <v>3903</v>
      </c>
      <c r="B425" s="282">
        <v>5</v>
      </c>
      <c r="C425" s="281"/>
      <c r="D425" s="281"/>
      <c r="E425" s="281"/>
      <c r="F425" s="281"/>
      <c r="G425" s="281"/>
      <c r="H425" s="215"/>
      <c r="I425" s="466"/>
      <c r="J425" s="467"/>
      <c r="K425" s="467"/>
      <c r="L425" s="467"/>
      <c r="M425" s="467"/>
      <c r="N425" s="467"/>
      <c r="O425" s="467"/>
      <c r="P425" s="467"/>
      <c r="Q425" s="467"/>
      <c r="R425" s="467"/>
      <c r="S425" s="467"/>
      <c r="T425" s="467"/>
      <c r="U425" s="467"/>
      <c r="V425" s="467"/>
      <c r="W425" s="468"/>
      <c r="X425" s="165" t="str">
        <f ca="1">G247</f>
        <v/>
      </c>
      <c r="Y425" s="194"/>
    </row>
    <row r="426" spans="1:25" ht="21.95" customHeight="1" x14ac:dyDescent="0.2">
      <c r="A426" s="440" t="s">
        <v>3904</v>
      </c>
      <c r="B426" s="282">
        <f ca="1">DATA_SCORE_EMPOWERMENT_FINAL</f>
        <v>0</v>
      </c>
      <c r="C426" s="281"/>
      <c r="D426" s="281"/>
      <c r="E426" s="281"/>
      <c r="F426" s="281"/>
      <c r="G426" s="281"/>
      <c r="H426" s="215"/>
      <c r="I426" s="204" t="s">
        <v>3442</v>
      </c>
      <c r="J426" s="153"/>
      <c r="K426" s="194"/>
      <c r="L426" s="153"/>
      <c r="M426" s="194"/>
      <c r="N426" s="153"/>
      <c r="O426" s="194"/>
      <c r="P426" s="153"/>
      <c r="Q426" s="194"/>
      <c r="R426" s="153"/>
      <c r="S426" s="194"/>
      <c r="T426" s="153"/>
      <c r="U426" s="194"/>
      <c r="V426" s="153"/>
      <c r="W426" s="194"/>
      <c r="X426" s="153"/>
      <c r="Y426" s="194"/>
    </row>
    <row r="427" spans="1:25" ht="21.95" customHeight="1" x14ac:dyDescent="0.2">
      <c r="A427" s="440" t="s">
        <v>3905</v>
      </c>
      <c r="B427" s="282" t="str">
        <f>SUBSTITUTE(CONFIG_POINT_HEADER_TEMPLATE,"[MAX]",B425)</f>
        <v>(Maximum Points: 5)</v>
      </c>
      <c r="C427" s="281"/>
      <c r="D427" s="281"/>
      <c r="E427" s="281"/>
      <c r="F427" s="281"/>
      <c r="G427" s="281"/>
      <c r="H427" s="215"/>
      <c r="I427" s="466"/>
      <c r="J427" s="467"/>
      <c r="K427" s="467"/>
      <c r="L427" s="467"/>
      <c r="M427" s="467"/>
      <c r="N427" s="467"/>
      <c r="O427" s="467"/>
      <c r="P427" s="467"/>
      <c r="Q427" s="467"/>
      <c r="R427" s="467"/>
      <c r="S427" s="467"/>
      <c r="T427" s="467"/>
      <c r="U427" s="467"/>
      <c r="V427" s="467"/>
      <c r="W427" s="468"/>
      <c r="X427" s="165" t="str">
        <f ca="1">G248</f>
        <v/>
      </c>
      <c r="Y427" s="194"/>
    </row>
    <row r="428" spans="1:25" ht="21.95" customHeight="1" x14ac:dyDescent="0.2">
      <c r="A428" s="440" t="s">
        <v>3906</v>
      </c>
      <c r="B428" s="441" t="str">
        <f ca="1">SUBSTITUTE(CONFIG_SCORE_SUBHEADER_TEMPLATE,"[SCORE]",ROUND(B426,2))</f>
        <v>Estimated Score: 0</v>
      </c>
      <c r="C428" s="281"/>
      <c r="D428" s="281"/>
      <c r="E428" s="281"/>
      <c r="F428" s="281"/>
      <c r="G428" s="281"/>
      <c r="H428" s="215"/>
      <c r="I428" s="209" t="s">
        <v>2770</v>
      </c>
      <c r="J428" s="347"/>
      <c r="K428" s="347"/>
      <c r="L428" s="347"/>
      <c r="M428" s="347"/>
      <c r="N428" s="347"/>
      <c r="O428" s="347"/>
      <c r="P428" s="347"/>
      <c r="Q428" s="347"/>
      <c r="R428" s="347"/>
      <c r="S428" s="347"/>
      <c r="T428" s="347"/>
      <c r="U428" s="347"/>
      <c r="V428" s="347"/>
      <c r="W428" s="175" t="str">
        <f>SUBSTITUTE(SUBSTITUTE(SUBSTITUTE(IF(LEN(B249)&gt;F249,CONFIG_CHAR_LIMIT_TEMPLATE_ERR,CONFIG_CHAR_LIMIT_TEMPLATE),"[diff]",ABS(LEN(B249)-F249)),"[limit]",F249),"[used]",LEN(B249))</f>
        <v>1500 character(s) remaining</v>
      </c>
      <c r="X428" s="153"/>
      <c r="Y428" s="194"/>
    </row>
    <row r="429" spans="1:25" ht="21.95" customHeight="1" x14ac:dyDescent="0.2">
      <c r="A429" s="285" t="s">
        <v>3080</v>
      </c>
      <c r="B429" s="305" t="str">
        <f>C429&amp;" "&amp;B448</f>
        <v>Housing for Special Needs Populations (Maximum Points: 5)</v>
      </c>
      <c r="C429" s="287" t="s">
        <v>3824</v>
      </c>
      <c r="D429" s="287"/>
      <c r="E429" s="287"/>
      <c r="F429" s="287"/>
      <c r="G429" s="172" t="str">
        <f>B443</f>
        <v>Special Needs</v>
      </c>
      <c r="H429" s="215"/>
      <c r="I429" s="500"/>
      <c r="J429" s="501"/>
      <c r="K429" s="501"/>
      <c r="L429" s="501"/>
      <c r="M429" s="501"/>
      <c r="N429" s="501"/>
      <c r="O429" s="501"/>
      <c r="P429" s="501"/>
      <c r="Q429" s="501"/>
      <c r="R429" s="501"/>
      <c r="S429" s="501"/>
      <c r="T429" s="501"/>
      <c r="U429" s="501"/>
      <c r="V429" s="501"/>
      <c r="W429" s="502"/>
      <c r="X429" s="165" t="str">
        <f ca="1">G249</f>
        <v/>
      </c>
      <c r="Y429" s="194"/>
    </row>
    <row r="430" spans="1:25" ht="21.95" customHeight="1" x14ac:dyDescent="0.2">
      <c r="A430" s="273" t="s">
        <v>3073</v>
      </c>
      <c r="B430" s="288" t="str">
        <f>IF(T634&lt;&gt;"",T634,"")</f>
        <v/>
      </c>
      <c r="C430" s="281">
        <f ca="1">VLOOKUP(A430,DB_TBL_DATA_FIELDS[[FIELD_ID]:[PCT_CALC_FIELD_STATUS_CODE]],22,FALSE)</f>
        <v>1</v>
      </c>
      <c r="D430" s="281" t="str">
        <f ca="1">IF(VLOOKUP(A430,DB_TBL_DATA_FIELDS[[FIELD_ID]:[ERROR_MESSAGE]],23,FALSE)&lt;&gt;0,VLOOKUP(A430,DB_TBL_DATA_FIELDS[[FIELD_ID]:[ERROR_MESSAGE]],23,FALSE),"")</f>
        <v/>
      </c>
      <c r="E430" s="281">
        <f>VLOOKUP(A430,DB_TBL_DATA_FIELDS[[#All],[FIELD_ID]:[RANGE_VALIDATION_MAX]],18,FALSE)</f>
        <v>0</v>
      </c>
      <c r="F430" s="281">
        <f>VLOOKUP(A430,DB_TBL_DATA_FIELDS[[#All],[FIELD_ID]:[RANGE_VALIDATION_MAX]],19,FALSE)</f>
        <v>999999999999</v>
      </c>
      <c r="G430" s="281">
        <f ca="1">IF(C430&lt;0,"",C430)</f>
        <v>1</v>
      </c>
      <c r="H430" s="215"/>
      <c r="I430" s="503"/>
      <c r="J430" s="504"/>
      <c r="K430" s="504"/>
      <c r="L430" s="504"/>
      <c r="M430" s="504"/>
      <c r="N430" s="504"/>
      <c r="O430" s="504"/>
      <c r="P430" s="504"/>
      <c r="Q430" s="504"/>
      <c r="R430" s="504"/>
      <c r="S430" s="504"/>
      <c r="T430" s="504"/>
      <c r="U430" s="504"/>
      <c r="V430" s="504"/>
      <c r="W430" s="505"/>
      <c r="X430" s="153"/>
      <c r="Y430" s="194"/>
    </row>
    <row r="431" spans="1:25" ht="21.95" customHeight="1" x14ac:dyDescent="0.2">
      <c r="A431" s="273" t="s">
        <v>3074</v>
      </c>
      <c r="B431" s="288" t="str">
        <f>IF(T635&lt;&gt;"",T635,"")</f>
        <v/>
      </c>
      <c r="C431" s="281">
        <f ca="1">VLOOKUP(A431,DB_TBL_DATA_FIELDS[[FIELD_ID]:[PCT_CALC_FIELD_STATUS_CODE]],22,FALSE)</f>
        <v>1</v>
      </c>
      <c r="D431" s="281" t="str">
        <f ca="1">IF(VLOOKUP(A431,DB_TBL_DATA_FIELDS[[FIELD_ID]:[ERROR_MESSAGE]],23,FALSE)&lt;&gt;0,VLOOKUP(A431,DB_TBL_DATA_FIELDS[[FIELD_ID]:[ERROR_MESSAGE]],23,FALSE),"")</f>
        <v/>
      </c>
      <c r="E431" s="281">
        <f>VLOOKUP(A431,DB_TBL_DATA_FIELDS[[#All],[FIELD_ID]:[RANGE_VALIDATION_MAX]],18,FALSE)</f>
        <v>0</v>
      </c>
      <c r="F431" s="281">
        <f>VLOOKUP(A431,DB_TBL_DATA_FIELDS[[#All],[FIELD_ID]:[RANGE_VALIDATION_MAX]],19,FALSE)</f>
        <v>999999999999</v>
      </c>
      <c r="G431" s="281">
        <f t="shared" ref="G431:G435" ca="1" si="58">IF(C431&lt;0,"",C431)</f>
        <v>1</v>
      </c>
      <c r="H431" s="215"/>
      <c r="I431" s="503"/>
      <c r="J431" s="504"/>
      <c r="K431" s="504"/>
      <c r="L431" s="504"/>
      <c r="M431" s="504"/>
      <c r="N431" s="504"/>
      <c r="O431" s="504"/>
      <c r="P431" s="504"/>
      <c r="Q431" s="504"/>
      <c r="R431" s="504"/>
      <c r="S431" s="504"/>
      <c r="T431" s="504"/>
      <c r="U431" s="504"/>
      <c r="V431" s="504"/>
      <c r="W431" s="505"/>
      <c r="X431" s="153"/>
      <c r="Y431" s="194"/>
    </row>
    <row r="432" spans="1:25" ht="21.95" customHeight="1" x14ac:dyDescent="0.2">
      <c r="A432" s="273" t="s">
        <v>3075</v>
      </c>
      <c r="B432" s="288" t="str">
        <f>IF(T636&lt;&gt;"",T636,"")</f>
        <v/>
      </c>
      <c r="C432" s="281">
        <f ca="1">VLOOKUP(A432,DB_TBL_DATA_FIELDS[[FIELD_ID]:[PCT_CALC_FIELD_STATUS_CODE]],22,FALSE)</f>
        <v>1</v>
      </c>
      <c r="D432" s="281" t="str">
        <f ca="1">IF(VLOOKUP(A432,DB_TBL_DATA_FIELDS[[FIELD_ID]:[ERROR_MESSAGE]],23,FALSE)&lt;&gt;0,VLOOKUP(A432,DB_TBL_DATA_FIELDS[[FIELD_ID]:[ERROR_MESSAGE]],23,FALSE),"")</f>
        <v/>
      </c>
      <c r="E432" s="281">
        <f>VLOOKUP(A432,DB_TBL_DATA_FIELDS[[#All],[FIELD_ID]:[RANGE_VALIDATION_MAX]],18,FALSE)</f>
        <v>0</v>
      </c>
      <c r="F432" s="281">
        <f>VLOOKUP(A432,DB_TBL_DATA_FIELDS[[#All],[FIELD_ID]:[RANGE_VALIDATION_MAX]],19,FALSE)</f>
        <v>999999999999</v>
      </c>
      <c r="G432" s="281">
        <f t="shared" ca="1" si="58"/>
        <v>1</v>
      </c>
      <c r="H432" s="215"/>
      <c r="I432" s="503"/>
      <c r="J432" s="504"/>
      <c r="K432" s="504"/>
      <c r="L432" s="504"/>
      <c r="M432" s="504"/>
      <c r="N432" s="504"/>
      <c r="O432" s="504"/>
      <c r="P432" s="504"/>
      <c r="Q432" s="504"/>
      <c r="R432" s="504"/>
      <c r="S432" s="504"/>
      <c r="T432" s="504"/>
      <c r="U432" s="504"/>
      <c r="V432" s="504"/>
      <c r="W432" s="505"/>
      <c r="X432" s="153"/>
      <c r="Y432" s="194"/>
    </row>
    <row r="433" spans="1:25" ht="21.95" customHeight="1" x14ac:dyDescent="0.2">
      <c r="A433" s="273" t="s">
        <v>3076</v>
      </c>
      <c r="B433" s="288" t="str">
        <f>IF(T637&lt;&gt;"",T637,"")</f>
        <v/>
      </c>
      <c r="C433" s="281">
        <f ca="1">VLOOKUP(A433,DB_TBL_DATA_FIELDS[[FIELD_ID]:[PCT_CALC_FIELD_STATUS_CODE]],22,FALSE)</f>
        <v>1</v>
      </c>
      <c r="D433" s="281" t="str">
        <f ca="1">IF(VLOOKUP(A433,DB_TBL_DATA_FIELDS[[FIELD_ID]:[ERROR_MESSAGE]],23,FALSE)&lt;&gt;0,VLOOKUP(A433,DB_TBL_DATA_FIELDS[[FIELD_ID]:[ERROR_MESSAGE]],23,FALSE),"")</f>
        <v/>
      </c>
      <c r="E433" s="281">
        <f>VLOOKUP(A433,DB_TBL_DATA_FIELDS[[#All],[FIELD_ID]:[RANGE_VALIDATION_MAX]],18,FALSE)</f>
        <v>0</v>
      </c>
      <c r="F433" s="281">
        <f>VLOOKUP(A433,DB_TBL_DATA_FIELDS[[#All],[FIELD_ID]:[RANGE_VALIDATION_MAX]],19,FALSE)</f>
        <v>999999999999</v>
      </c>
      <c r="G433" s="281">
        <f t="shared" ca="1" si="58"/>
        <v>1</v>
      </c>
      <c r="H433" s="215"/>
      <c r="I433" s="503"/>
      <c r="J433" s="504"/>
      <c r="K433" s="504"/>
      <c r="L433" s="504"/>
      <c r="M433" s="504"/>
      <c r="N433" s="504"/>
      <c r="O433" s="504"/>
      <c r="P433" s="504"/>
      <c r="Q433" s="504"/>
      <c r="R433" s="504"/>
      <c r="S433" s="504"/>
      <c r="T433" s="504"/>
      <c r="U433" s="504"/>
      <c r="V433" s="504"/>
      <c r="W433" s="505"/>
      <c r="X433" s="153"/>
      <c r="Y433" s="194"/>
    </row>
    <row r="434" spans="1:25" ht="21.95" customHeight="1" x14ac:dyDescent="0.2">
      <c r="A434" s="273" t="s">
        <v>3077</v>
      </c>
      <c r="B434" s="288" t="str">
        <f>IF(T638&lt;&gt;"",T638,"")</f>
        <v/>
      </c>
      <c r="C434" s="281">
        <f ca="1">VLOOKUP(A434,DB_TBL_DATA_FIELDS[[FIELD_ID]:[PCT_CALC_FIELD_STATUS_CODE]],22,FALSE)</f>
        <v>1</v>
      </c>
      <c r="D434" s="281" t="str">
        <f ca="1">IF(VLOOKUP(A434,DB_TBL_DATA_FIELDS[[FIELD_ID]:[ERROR_MESSAGE]],23,FALSE)&lt;&gt;0,VLOOKUP(A434,DB_TBL_DATA_FIELDS[[FIELD_ID]:[ERROR_MESSAGE]],23,FALSE),"")</f>
        <v/>
      </c>
      <c r="E434" s="281">
        <f>VLOOKUP(A434,DB_TBL_DATA_FIELDS[[#All],[FIELD_ID]:[RANGE_VALIDATION_MAX]],18,FALSE)</f>
        <v>0</v>
      </c>
      <c r="F434" s="281">
        <f>VLOOKUP(A434,DB_TBL_DATA_FIELDS[[#All],[FIELD_ID]:[RANGE_VALIDATION_MAX]],19,FALSE)</f>
        <v>999999999999</v>
      </c>
      <c r="G434" s="281">
        <f t="shared" ca="1" si="58"/>
        <v>1</v>
      </c>
      <c r="H434" s="215"/>
      <c r="I434" s="506"/>
      <c r="J434" s="507"/>
      <c r="K434" s="507"/>
      <c r="L434" s="507"/>
      <c r="M434" s="507"/>
      <c r="N434" s="507"/>
      <c r="O434" s="507"/>
      <c r="P434" s="507"/>
      <c r="Q434" s="507"/>
      <c r="R434" s="507"/>
      <c r="S434" s="507"/>
      <c r="T434" s="507"/>
      <c r="U434" s="507"/>
      <c r="V434" s="507"/>
      <c r="W434" s="508"/>
      <c r="X434" s="153"/>
      <c r="Y434" s="194"/>
    </row>
    <row r="435" spans="1:25" ht="21.95" customHeight="1" x14ac:dyDescent="0.2">
      <c r="A435" s="273" t="s">
        <v>3078</v>
      </c>
      <c r="B435" s="296" t="str">
        <f ca="1">VLOOKUP(A435,'$DB.DATA'!D:H,5,FALSE)</f>
        <v/>
      </c>
      <c r="C435" s="281">
        <f ca="1">VLOOKUP(A435,DB_TBL_DATA_FIELDS[[FIELD_ID]:[PCT_CALC_FIELD_STATUS_CODE]],22,FALSE)</f>
        <v>-1</v>
      </c>
      <c r="D435" s="281" t="str">
        <f ca="1">IF(VLOOKUP(A435,DB_TBL_DATA_FIELDS[[FIELD_ID]:[ERROR_MESSAGE]],23,FALSE)&lt;&gt;0,VLOOKUP(A435,DB_TBL_DATA_FIELDS[[FIELD_ID]:[ERROR_MESSAGE]],23,FALSE),"")</f>
        <v/>
      </c>
      <c r="E435" s="281">
        <f>VLOOKUP(A435,DB_TBL_DATA_FIELDS[[#All],[FIELD_ID]:[RANGE_VALIDATION_MAX]],18,FALSE)</f>
        <v>0</v>
      </c>
      <c r="F435" s="281">
        <f>VLOOKUP(A435,DB_TBL_DATA_FIELDS[[#All],[FIELD_ID]:[RANGE_VALIDATION_MAX]],19,FALSE)</f>
        <v>999999999999</v>
      </c>
      <c r="G435" s="281" t="str">
        <f t="shared" ca="1" si="58"/>
        <v/>
      </c>
      <c r="H435" s="215"/>
      <c r="I435" s="209" t="s">
        <v>3443</v>
      </c>
      <c r="J435" s="347"/>
      <c r="K435" s="347"/>
      <c r="L435" s="347"/>
      <c r="M435" s="347"/>
      <c r="N435" s="347"/>
      <c r="O435" s="347"/>
      <c r="P435" s="347"/>
      <c r="Q435" s="347"/>
      <c r="R435" s="347"/>
      <c r="S435" s="347"/>
      <c r="T435" s="347"/>
      <c r="U435" s="347"/>
      <c r="V435" s="347"/>
      <c r="W435" s="175" t="str">
        <f>SUBSTITUTE(SUBSTITUTE(SUBSTITUTE(IF(LEN(B250)&gt;F250,CONFIG_CHAR_LIMIT_TEMPLATE_ERR,CONFIG_CHAR_LIMIT_TEMPLATE),"[diff]",ABS(LEN(B250)-F250)),"[limit]",F250),"[used]",LEN(B250))</f>
        <v>2000 character(s) remaining</v>
      </c>
      <c r="X435" s="153"/>
      <c r="Y435" s="194"/>
    </row>
    <row r="436" spans="1:25" ht="21.95" customHeight="1" x14ac:dyDescent="0.2">
      <c r="A436" s="290" t="s">
        <v>3081</v>
      </c>
      <c r="B436" s="282" t="str">
        <f>"C"&amp;MATCH(LEFT(A436,LEN(A436)-LEN("_RANGE")),A:A,0)+1&amp;":C"&amp;(ROW()-1)</f>
        <v>C430:C435</v>
      </c>
      <c r="C436" s="281"/>
      <c r="D436" s="281"/>
      <c r="E436" s="281"/>
      <c r="F436" s="281"/>
      <c r="G436" s="281"/>
      <c r="H436" s="215"/>
      <c r="I436" s="500"/>
      <c r="J436" s="501"/>
      <c r="K436" s="501"/>
      <c r="L436" s="501"/>
      <c r="M436" s="501"/>
      <c r="N436" s="501"/>
      <c r="O436" s="501"/>
      <c r="P436" s="501"/>
      <c r="Q436" s="501"/>
      <c r="R436" s="501"/>
      <c r="S436" s="501"/>
      <c r="T436" s="501"/>
      <c r="U436" s="501"/>
      <c r="V436" s="501"/>
      <c r="W436" s="502"/>
      <c r="X436" s="165" t="str">
        <f ca="1">G250</f>
        <v/>
      </c>
      <c r="Y436" s="194"/>
    </row>
    <row r="437" spans="1:25" ht="21.95" customHeight="1" x14ac:dyDescent="0.2">
      <c r="A437" s="290" t="s">
        <v>3082</v>
      </c>
      <c r="B437" s="282">
        <f ca="1">COUNTIF(INDIRECT($B436),2)</f>
        <v>0</v>
      </c>
      <c r="C437" s="281"/>
      <c r="D437" s="281"/>
      <c r="E437" s="281"/>
      <c r="F437" s="281"/>
      <c r="G437" s="281"/>
      <c r="H437" s="215"/>
      <c r="I437" s="503"/>
      <c r="J437" s="504"/>
      <c r="K437" s="504"/>
      <c r="L437" s="504"/>
      <c r="M437" s="504"/>
      <c r="N437" s="504"/>
      <c r="O437" s="504"/>
      <c r="P437" s="504"/>
      <c r="Q437" s="504"/>
      <c r="R437" s="504"/>
      <c r="S437" s="504"/>
      <c r="T437" s="504"/>
      <c r="U437" s="504"/>
      <c r="V437" s="504"/>
      <c r="W437" s="505"/>
      <c r="X437" s="153"/>
      <c r="Y437" s="194"/>
    </row>
    <row r="438" spans="1:25" ht="21.95" customHeight="1" x14ac:dyDescent="0.2">
      <c r="A438" s="290" t="s">
        <v>3083</v>
      </c>
      <c r="B438" s="282">
        <f ca="1">COUNTIF(INDIRECT($B436),0)+COUNTIF(INDIRECT($B436),1)+COUNTIF(INDIRECT($B436),2)</f>
        <v>5</v>
      </c>
      <c r="C438" s="281"/>
      <c r="D438" s="281"/>
      <c r="E438" s="281"/>
      <c r="F438" s="281"/>
      <c r="G438" s="281"/>
      <c r="H438" s="215"/>
      <c r="I438" s="503"/>
      <c r="J438" s="504"/>
      <c r="K438" s="504"/>
      <c r="L438" s="504"/>
      <c r="M438" s="504"/>
      <c r="N438" s="504"/>
      <c r="O438" s="504"/>
      <c r="P438" s="504"/>
      <c r="Q438" s="504"/>
      <c r="R438" s="504"/>
      <c r="S438" s="504"/>
      <c r="T438" s="504"/>
      <c r="U438" s="504"/>
      <c r="V438" s="504"/>
      <c r="W438" s="505"/>
      <c r="X438" s="153"/>
      <c r="Y438" s="194"/>
    </row>
    <row r="439" spans="1:25" ht="21.95" customHeight="1" x14ac:dyDescent="0.2">
      <c r="A439" s="290" t="s">
        <v>3084</v>
      </c>
      <c r="B439" s="282">
        <f ca="1">COUNTIF(INDIRECT($B436),0)</f>
        <v>0</v>
      </c>
      <c r="C439" s="281" t="s">
        <v>2607</v>
      </c>
      <c r="D439" s="281"/>
      <c r="E439" s="281"/>
      <c r="F439" s="281"/>
      <c r="G439" s="281"/>
      <c r="H439" s="215"/>
      <c r="I439" s="503"/>
      <c r="J439" s="504"/>
      <c r="K439" s="504"/>
      <c r="L439" s="504"/>
      <c r="M439" s="504"/>
      <c r="N439" s="504"/>
      <c r="O439" s="504"/>
      <c r="P439" s="504"/>
      <c r="Q439" s="504"/>
      <c r="R439" s="504"/>
      <c r="S439" s="504"/>
      <c r="T439" s="504"/>
      <c r="U439" s="504"/>
      <c r="V439" s="504"/>
      <c r="W439" s="505"/>
      <c r="X439" s="153"/>
      <c r="Y439" s="194"/>
    </row>
    <row r="440" spans="1:25" ht="21.95" customHeight="1" x14ac:dyDescent="0.2">
      <c r="A440" s="290" t="s">
        <v>3085</v>
      </c>
      <c r="B440" s="291">
        <f ca="1">IFERROR(B437/B438,1.01)</f>
        <v>0</v>
      </c>
      <c r="C440" s="281"/>
      <c r="D440" s="281"/>
      <c r="E440" s="281"/>
      <c r="F440" s="281"/>
      <c r="G440" s="281"/>
      <c r="H440" s="215"/>
      <c r="I440" s="503"/>
      <c r="J440" s="504"/>
      <c r="K440" s="504"/>
      <c r="L440" s="504"/>
      <c r="M440" s="504"/>
      <c r="N440" s="504"/>
      <c r="O440" s="504"/>
      <c r="P440" s="504"/>
      <c r="Q440" s="504"/>
      <c r="R440" s="504"/>
      <c r="S440" s="504"/>
      <c r="T440" s="504"/>
      <c r="U440" s="504"/>
      <c r="V440" s="504"/>
      <c r="W440" s="505"/>
      <c r="X440" s="153"/>
      <c r="Y440" s="194"/>
    </row>
    <row r="441" spans="1:25" ht="21.95" customHeight="1" x14ac:dyDescent="0.2">
      <c r="A441" s="290" t="s">
        <v>3086</v>
      </c>
      <c r="B441" s="292" t="str">
        <f ca="1">IF(B439&gt;0,"Data Error(s)",IF(B440=0,"Not Started",IF(B440&lt;1,ROUNDUP(B440*100,0)&amp;"% Done",IF(B440&gt;1,"Optional","Complete"))))</f>
        <v>Not Started</v>
      </c>
      <c r="C441" s="281"/>
      <c r="D441" s="281"/>
      <c r="E441" s="281"/>
      <c r="F441" s="281"/>
      <c r="G441" s="281"/>
      <c r="H441" s="215"/>
      <c r="I441" s="503"/>
      <c r="J441" s="504"/>
      <c r="K441" s="504"/>
      <c r="L441" s="504"/>
      <c r="M441" s="504"/>
      <c r="N441" s="504"/>
      <c r="O441" s="504"/>
      <c r="P441" s="504"/>
      <c r="Q441" s="504"/>
      <c r="R441" s="504"/>
      <c r="S441" s="504"/>
      <c r="T441" s="504"/>
      <c r="U441" s="504"/>
      <c r="V441" s="504"/>
      <c r="W441" s="505"/>
      <c r="X441" s="153"/>
      <c r="Y441" s="194"/>
    </row>
    <row r="442" spans="1:25" ht="21.95" customHeight="1" x14ac:dyDescent="0.2">
      <c r="A442" s="290" t="s">
        <v>3087</v>
      </c>
      <c r="B442" s="282" t="str">
        <f ca="1">IF(B439&gt;0,0,IF(B440&lt;1,"",2))</f>
        <v/>
      </c>
      <c r="C442" s="281"/>
      <c r="D442" s="281"/>
      <c r="E442" s="281"/>
      <c r="F442" s="281"/>
      <c r="G442" s="281"/>
      <c r="H442" s="215"/>
      <c r="I442" s="503"/>
      <c r="J442" s="504"/>
      <c r="K442" s="504"/>
      <c r="L442" s="504"/>
      <c r="M442" s="504"/>
      <c r="N442" s="504"/>
      <c r="O442" s="504"/>
      <c r="P442" s="504"/>
      <c r="Q442" s="504"/>
      <c r="R442" s="504"/>
      <c r="S442" s="504"/>
      <c r="T442" s="504"/>
      <c r="U442" s="504"/>
      <c r="V442" s="504"/>
      <c r="W442" s="505"/>
      <c r="X442" s="153"/>
      <c r="Y442" s="194"/>
    </row>
    <row r="443" spans="1:25" ht="21.95" customHeight="1" x14ac:dyDescent="0.2">
      <c r="A443" s="290" t="s">
        <v>3088</v>
      </c>
      <c r="B443" s="293" t="s">
        <v>3079</v>
      </c>
      <c r="C443" s="281"/>
      <c r="D443" s="281"/>
      <c r="E443" s="281"/>
      <c r="F443" s="281"/>
      <c r="G443" s="281"/>
      <c r="H443" s="215"/>
      <c r="I443" s="503"/>
      <c r="J443" s="504"/>
      <c r="K443" s="504"/>
      <c r="L443" s="504"/>
      <c r="M443" s="504"/>
      <c r="N443" s="504"/>
      <c r="O443" s="504"/>
      <c r="P443" s="504"/>
      <c r="Q443" s="504"/>
      <c r="R443" s="504"/>
      <c r="S443" s="504"/>
      <c r="T443" s="504"/>
      <c r="U443" s="504"/>
      <c r="V443" s="504"/>
      <c r="W443" s="505"/>
      <c r="X443" s="153"/>
      <c r="Y443" s="194"/>
    </row>
    <row r="444" spans="1:25" ht="21.95" customHeight="1" x14ac:dyDescent="0.2">
      <c r="A444" s="294" t="s">
        <v>3089</v>
      </c>
      <c r="B444" s="300">
        <v>0</v>
      </c>
      <c r="C444" s="281" t="s">
        <v>2462</v>
      </c>
      <c r="D444" s="281"/>
      <c r="E444" s="281"/>
      <c r="F444" s="281"/>
      <c r="G444" s="281"/>
      <c r="H444" s="215"/>
      <c r="I444" s="506"/>
      <c r="J444" s="507"/>
      <c r="K444" s="507"/>
      <c r="L444" s="507"/>
      <c r="M444" s="507"/>
      <c r="N444" s="507"/>
      <c r="O444" s="507"/>
      <c r="P444" s="507"/>
      <c r="Q444" s="507"/>
      <c r="R444" s="507"/>
      <c r="S444" s="507"/>
      <c r="T444" s="507"/>
      <c r="U444" s="507"/>
      <c r="V444" s="507"/>
      <c r="W444" s="508"/>
      <c r="X444" s="153"/>
      <c r="Y444" s="194"/>
    </row>
    <row r="445" spans="1:25" ht="20.100000000000001" customHeight="1" x14ac:dyDescent="0.2">
      <c r="A445" s="294" t="s">
        <v>3090</v>
      </c>
      <c r="B445" s="282" t="b">
        <f>(B444&gt;0)</f>
        <v>0</v>
      </c>
      <c r="C445" s="281"/>
      <c r="D445" s="281"/>
      <c r="E445" s="281"/>
      <c r="F445" s="281"/>
      <c r="G445" s="281"/>
      <c r="H445" s="215"/>
      <c r="I445" s="358" t="s">
        <v>3553</v>
      </c>
      <c r="J445" s="344"/>
      <c r="K445" s="344"/>
      <c r="L445" s="344"/>
      <c r="M445" s="344"/>
      <c r="N445" s="344"/>
      <c r="O445" s="344"/>
      <c r="P445" s="344"/>
      <c r="Q445" s="344"/>
      <c r="R445" s="344"/>
      <c r="S445" s="344"/>
      <c r="T445" s="344"/>
      <c r="U445" s="344"/>
      <c r="V445" s="344"/>
      <c r="W445" s="344"/>
      <c r="X445" s="153"/>
      <c r="Y445" s="194"/>
    </row>
    <row r="446" spans="1:25" ht="39.950000000000003" customHeight="1" x14ac:dyDescent="0.2">
      <c r="A446" s="440" t="s">
        <v>3899</v>
      </c>
      <c r="B446" s="282">
        <v>5</v>
      </c>
      <c r="C446" s="281"/>
      <c r="D446" s="281"/>
      <c r="E446" s="281"/>
      <c r="F446" s="281"/>
      <c r="G446" s="281"/>
      <c r="H446" s="215"/>
      <c r="I446" s="457" t="s">
        <v>61</v>
      </c>
      <c r="J446" s="458"/>
      <c r="K446" s="457" t="s">
        <v>3554</v>
      </c>
      <c r="L446" s="458"/>
      <c r="M446" s="457" t="s">
        <v>220</v>
      </c>
      <c r="N446" s="458"/>
      <c r="O446" s="457" t="s">
        <v>274</v>
      </c>
      <c r="P446" s="458"/>
      <c r="Q446" s="457" t="s">
        <v>3555</v>
      </c>
      <c r="R446" s="458"/>
      <c r="S446" s="457" t="s">
        <v>3556</v>
      </c>
      <c r="T446" s="458"/>
      <c r="U446" s="589" t="s">
        <v>3557</v>
      </c>
      <c r="V446" s="590"/>
      <c r="W446" s="591"/>
      <c r="X446" s="165" t="str">
        <f ca="1">G251</f>
        <v/>
      </c>
      <c r="Y446" s="194"/>
    </row>
    <row r="447" spans="1:25" ht="39.950000000000003" customHeight="1" x14ac:dyDescent="0.2">
      <c r="A447" s="440" t="s">
        <v>3900</v>
      </c>
      <c r="B447" s="282">
        <f ca="1">DATA_SCORE_SPECIALNEEDS_FINAL</f>
        <v>0</v>
      </c>
      <c r="C447" s="281"/>
      <c r="D447" s="281"/>
      <c r="E447" s="281"/>
      <c r="F447" s="281"/>
      <c r="G447" s="281"/>
      <c r="H447" s="215"/>
      <c r="I447" s="592"/>
      <c r="J447" s="592"/>
      <c r="K447" s="593"/>
      <c r="L447" s="593"/>
      <c r="M447" s="592"/>
      <c r="N447" s="592"/>
      <c r="O447" s="593"/>
      <c r="P447" s="593"/>
      <c r="Q447" s="593"/>
      <c r="R447" s="593"/>
      <c r="S447" s="592"/>
      <c r="T447" s="592"/>
      <c r="U447" s="592"/>
      <c r="V447" s="592"/>
      <c r="W447" s="592"/>
      <c r="X447" s="165"/>
      <c r="Y447" s="194"/>
    </row>
    <row r="448" spans="1:25" ht="39.950000000000003" customHeight="1" x14ac:dyDescent="0.2">
      <c r="A448" s="440" t="s">
        <v>3901</v>
      </c>
      <c r="B448" s="282" t="str">
        <f>SUBSTITUTE(CONFIG_POINT_HEADER_TEMPLATE,"[MAX]",B446)</f>
        <v>(Maximum Points: 5)</v>
      </c>
      <c r="C448" s="281"/>
      <c r="D448" s="281"/>
      <c r="E448" s="281"/>
      <c r="F448" s="281"/>
      <c r="G448" s="281"/>
      <c r="H448" s="215"/>
      <c r="I448" s="592"/>
      <c r="J448" s="592"/>
      <c r="K448" s="593"/>
      <c r="L448" s="593"/>
      <c r="M448" s="592"/>
      <c r="N448" s="592"/>
      <c r="O448" s="593"/>
      <c r="P448" s="593"/>
      <c r="Q448" s="593"/>
      <c r="R448" s="593"/>
      <c r="S448" s="592"/>
      <c r="T448" s="592"/>
      <c r="U448" s="592"/>
      <c r="V448" s="592"/>
      <c r="W448" s="592"/>
      <c r="Y448" s="194"/>
    </row>
    <row r="449" spans="1:25" ht="39.950000000000003" customHeight="1" x14ac:dyDescent="0.2">
      <c r="A449" s="440" t="s">
        <v>3902</v>
      </c>
      <c r="B449" s="441" t="str">
        <f ca="1">SUBSTITUTE(CONFIG_SCORE_SUBHEADER_TEMPLATE,"[SCORE]",ROUND(B447,2))</f>
        <v>Estimated Score: 0</v>
      </c>
      <c r="C449" s="281"/>
      <c r="D449" s="281"/>
      <c r="E449" s="281"/>
      <c r="F449" s="281"/>
      <c r="G449" s="281"/>
      <c r="H449" s="215"/>
      <c r="I449" s="592"/>
      <c r="J449" s="592"/>
      <c r="K449" s="593"/>
      <c r="L449" s="593"/>
      <c r="M449" s="592"/>
      <c r="N449" s="592"/>
      <c r="O449" s="593"/>
      <c r="P449" s="593"/>
      <c r="Q449" s="593"/>
      <c r="R449" s="593"/>
      <c r="S449" s="592"/>
      <c r="T449" s="592"/>
      <c r="U449" s="592"/>
      <c r="V449" s="592"/>
      <c r="W449" s="592"/>
      <c r="X449" s="153"/>
      <c r="Y449" s="194"/>
    </row>
    <row r="450" spans="1:25" ht="39.950000000000003" customHeight="1" x14ac:dyDescent="0.2">
      <c r="A450" s="285" t="s">
        <v>3104</v>
      </c>
      <c r="B450" s="305" t="str">
        <f>C450&amp;" "&amp;B465</f>
        <v>Housing in Rural Areas (Maximum Points: 5)</v>
      </c>
      <c r="C450" s="287" t="s">
        <v>3823</v>
      </c>
      <c r="D450" s="287"/>
      <c r="E450" s="287"/>
      <c r="F450" s="287"/>
      <c r="G450" s="172" t="str">
        <f>B460</f>
        <v>Rural</v>
      </c>
      <c r="H450" s="215"/>
      <c r="I450" s="592"/>
      <c r="J450" s="592"/>
      <c r="K450" s="593"/>
      <c r="L450" s="593"/>
      <c r="M450" s="592"/>
      <c r="N450" s="592"/>
      <c r="O450" s="593"/>
      <c r="P450" s="593"/>
      <c r="Q450" s="593"/>
      <c r="R450" s="593"/>
      <c r="S450" s="592"/>
      <c r="T450" s="592"/>
      <c r="U450" s="592"/>
      <c r="V450" s="592"/>
      <c r="W450" s="592"/>
      <c r="X450" s="153"/>
      <c r="Y450" s="194"/>
    </row>
    <row r="451" spans="1:25" ht="39.950000000000003" customHeight="1" x14ac:dyDescent="0.2">
      <c r="A451" s="273" t="s">
        <v>3097</v>
      </c>
      <c r="B451" s="288" t="str">
        <f>IF(I656&lt;&gt;"",I656,"")</f>
        <v/>
      </c>
      <c r="C451" s="281">
        <f ca="1">VLOOKUP(A451,DB_TBL_DATA_FIELDS[[FIELD_ID]:[PCT_CALC_FIELD_STATUS_CODE]],22,FALSE)</f>
        <v>1</v>
      </c>
      <c r="D451" s="281" t="str">
        <f ca="1">IF(VLOOKUP(A451,DB_TBL_DATA_FIELDS[[FIELD_ID]:[ERROR_MESSAGE]],23,FALSE)&lt;&gt;0,VLOOKUP(A451,DB_TBL_DATA_FIELDS[[FIELD_ID]:[ERROR_MESSAGE]],23,FALSE),"")</f>
        <v/>
      </c>
      <c r="E451" s="281">
        <f>VLOOKUP(A451,DB_TBL_DATA_FIELDS[[#All],[FIELD_ID]:[RANGE_VALIDATION_MAX]],18,FALSE)</f>
        <v>0</v>
      </c>
      <c r="F451" s="281">
        <f>VLOOKUP(A451,DB_TBL_DATA_FIELDS[[#All],[FIELD_ID]:[RANGE_VALIDATION_MAX]],19,FALSE)</f>
        <v>999999999999</v>
      </c>
      <c r="G451" s="281">
        <f ca="1">IF(C451&lt;0,"",C451)</f>
        <v>1</v>
      </c>
      <c r="H451" s="215"/>
      <c r="I451" s="592"/>
      <c r="J451" s="592"/>
      <c r="K451" s="593"/>
      <c r="L451" s="593"/>
      <c r="M451" s="592"/>
      <c r="N451" s="592"/>
      <c r="O451" s="593"/>
      <c r="P451" s="593"/>
      <c r="Q451" s="593"/>
      <c r="R451" s="593"/>
      <c r="S451" s="592"/>
      <c r="T451" s="592"/>
      <c r="U451" s="592"/>
      <c r="V451" s="592"/>
      <c r="W451" s="592"/>
      <c r="X451" s="153"/>
      <c r="Y451" s="194"/>
    </row>
    <row r="452" spans="1:25" ht="39.950000000000003" customHeight="1" x14ac:dyDescent="0.2">
      <c r="A452" s="273" t="s">
        <v>3098</v>
      </c>
      <c r="B452" s="288" t="str">
        <f>IF(M656&lt;&gt;"",M656,"")</f>
        <v/>
      </c>
      <c r="C452" s="281">
        <f ca="1">VLOOKUP(A452,DB_TBL_DATA_FIELDS[[FIELD_ID]:[PCT_CALC_FIELD_STATUS_CODE]],22,FALSE)</f>
        <v>-1</v>
      </c>
      <c r="D452" s="281" t="str">
        <f>IF(VLOOKUP(A452,DB_TBL_DATA_FIELDS[[FIELD_ID]:[ERROR_MESSAGE]],23,FALSE)&lt;&gt;0,VLOOKUP(A452,DB_TBL_DATA_FIELDS[[FIELD_ID]:[ERROR_MESSAGE]],23,FALSE),"")</f>
        <v/>
      </c>
      <c r="E452" s="281">
        <f>VLOOKUP(A452,DB_TBL_DATA_FIELDS[[#All],[FIELD_ID]:[RANGE_VALIDATION_MAX]],18,FALSE)</f>
        <v>0</v>
      </c>
      <c r="F452" s="281">
        <f>VLOOKUP(A452,DB_TBL_DATA_FIELDS[[#All],[FIELD_ID]:[RANGE_VALIDATION_MAX]],19,FALSE)</f>
        <v>250</v>
      </c>
      <c r="G452" s="281" t="str">
        <f t="shared" ref="G452" ca="1" si="59">IF(C452&lt;0,"",C452)</f>
        <v/>
      </c>
      <c r="H452" s="215"/>
      <c r="I452" s="592"/>
      <c r="J452" s="592"/>
      <c r="K452" s="593"/>
      <c r="L452" s="593"/>
      <c r="M452" s="592"/>
      <c r="N452" s="592"/>
      <c r="O452" s="593"/>
      <c r="P452" s="593"/>
      <c r="Q452" s="593"/>
      <c r="R452" s="593"/>
      <c r="S452" s="592"/>
      <c r="T452" s="592"/>
      <c r="U452" s="592"/>
      <c r="V452" s="592"/>
      <c r="W452" s="592"/>
      <c r="X452" s="153"/>
      <c r="Y452" s="194"/>
    </row>
    <row r="453" spans="1:25" ht="39.950000000000003" customHeight="1" x14ac:dyDescent="0.2">
      <c r="A453" s="290" t="s">
        <v>3105</v>
      </c>
      <c r="B453" s="282" t="str">
        <f>"C"&amp;MATCH(LEFT(A453,LEN(A453)-LEN("_RANGE")),A:A,0)+1&amp;":C"&amp;(ROW()-1)</f>
        <v>C451:C452</v>
      </c>
      <c r="C453" s="281"/>
      <c r="D453" s="281"/>
      <c r="E453" s="281"/>
      <c r="F453" s="281"/>
      <c r="G453" s="281"/>
      <c r="H453" s="215"/>
      <c r="I453" s="592"/>
      <c r="J453" s="592"/>
      <c r="K453" s="593"/>
      <c r="L453" s="593"/>
      <c r="M453" s="592"/>
      <c r="N453" s="592"/>
      <c r="O453" s="593"/>
      <c r="P453" s="593"/>
      <c r="Q453" s="593"/>
      <c r="R453" s="593"/>
      <c r="S453" s="592"/>
      <c r="T453" s="592"/>
      <c r="U453" s="592"/>
      <c r="V453" s="592"/>
      <c r="W453" s="592"/>
      <c r="X453" s="153"/>
      <c r="Y453" s="194"/>
    </row>
    <row r="454" spans="1:25" ht="39.950000000000003" customHeight="1" x14ac:dyDescent="0.2">
      <c r="A454" s="290" t="s">
        <v>3106</v>
      </c>
      <c r="B454" s="282">
        <f ca="1">COUNTIF(INDIRECT($B453),2)</f>
        <v>0</v>
      </c>
      <c r="C454" s="281"/>
      <c r="D454" s="281"/>
      <c r="E454" s="281"/>
      <c r="F454" s="281"/>
      <c r="G454" s="281"/>
      <c r="H454" s="215"/>
      <c r="I454" s="592"/>
      <c r="J454" s="592"/>
      <c r="K454" s="593"/>
      <c r="L454" s="593"/>
      <c r="M454" s="592"/>
      <c r="N454" s="592"/>
      <c r="O454" s="593"/>
      <c r="P454" s="593"/>
      <c r="Q454" s="593"/>
      <c r="R454" s="593"/>
      <c r="S454" s="592"/>
      <c r="T454" s="592"/>
      <c r="U454" s="592"/>
      <c r="V454" s="592"/>
      <c r="W454" s="592"/>
      <c r="X454" s="153"/>
      <c r="Y454" s="194"/>
    </row>
    <row r="455" spans="1:25" ht="39.950000000000003" customHeight="1" x14ac:dyDescent="0.2">
      <c r="A455" s="290" t="s">
        <v>3107</v>
      </c>
      <c r="B455" s="282">
        <f ca="1">COUNTIF(INDIRECT($B453),0)+COUNTIF(INDIRECT($B453),1)+COUNTIF(INDIRECT($B453),2)</f>
        <v>1</v>
      </c>
      <c r="C455" s="281"/>
      <c r="D455" s="281"/>
      <c r="E455" s="281"/>
      <c r="F455" s="281"/>
      <c r="G455" s="281"/>
      <c r="H455" s="215"/>
      <c r="I455" s="592"/>
      <c r="J455" s="592"/>
      <c r="K455" s="593"/>
      <c r="L455" s="593"/>
      <c r="M455" s="592"/>
      <c r="N455" s="592"/>
      <c r="O455" s="593"/>
      <c r="P455" s="593"/>
      <c r="Q455" s="593"/>
      <c r="R455" s="593"/>
      <c r="S455" s="592"/>
      <c r="T455" s="592"/>
      <c r="U455" s="592"/>
      <c r="V455" s="592"/>
      <c r="W455" s="592"/>
      <c r="X455" s="153"/>
      <c r="Y455" s="194"/>
    </row>
    <row r="456" spans="1:25" ht="39.950000000000003" customHeight="1" x14ac:dyDescent="0.2">
      <c r="A456" s="290" t="s">
        <v>3108</v>
      </c>
      <c r="B456" s="282">
        <f ca="1">COUNTIF(INDIRECT($B453),0)</f>
        <v>0</v>
      </c>
      <c r="C456" s="281" t="s">
        <v>2607</v>
      </c>
      <c r="D456" s="281"/>
      <c r="E456" s="281"/>
      <c r="F456" s="281"/>
      <c r="G456" s="281"/>
      <c r="H456" s="215"/>
      <c r="I456" s="592"/>
      <c r="J456" s="592"/>
      <c r="K456" s="593"/>
      <c r="L456" s="593"/>
      <c r="M456" s="592"/>
      <c r="N456" s="592"/>
      <c r="O456" s="593"/>
      <c r="P456" s="593"/>
      <c r="Q456" s="593"/>
      <c r="R456" s="593"/>
      <c r="S456" s="592"/>
      <c r="T456" s="592"/>
      <c r="U456" s="592"/>
      <c r="V456" s="592"/>
      <c r="W456" s="592"/>
      <c r="X456" s="153"/>
      <c r="Y456" s="194"/>
    </row>
    <row r="457" spans="1:25" ht="20.100000000000001" customHeight="1" x14ac:dyDescent="0.2">
      <c r="A457" s="290" t="s">
        <v>3109</v>
      </c>
      <c r="B457" s="291">
        <f ca="1">IFERROR(B454/B455,1.01)</f>
        <v>0</v>
      </c>
      <c r="C457" s="281"/>
      <c r="D457" s="281"/>
      <c r="E457" s="281"/>
      <c r="F457" s="281"/>
      <c r="G457" s="281"/>
      <c r="H457" s="215"/>
      <c r="I457" s="231" t="s">
        <v>3561</v>
      </c>
      <c r="J457" s="204"/>
      <c r="K457" s="204"/>
      <c r="L457" s="204"/>
      <c r="M457" s="204"/>
      <c r="N457" s="204"/>
      <c r="O457" s="204"/>
      <c r="P457" s="204"/>
      <c r="Q457" s="204"/>
      <c r="R457" s="204"/>
      <c r="S457" s="204"/>
      <c r="T457" s="204"/>
      <c r="U457" s="204"/>
      <c r="V457" s="204"/>
      <c r="W457" s="204"/>
      <c r="X457" s="153"/>
      <c r="Y457" s="194"/>
    </row>
    <row r="458" spans="1:25" ht="39.950000000000003" customHeight="1" x14ac:dyDescent="0.2">
      <c r="A458" s="290" t="s">
        <v>3110</v>
      </c>
      <c r="B458" s="292" t="str">
        <f ca="1">IF(B456&gt;0,"Data Error(s)",IF(B457=0,"Not Started",IF(B457&lt;1,ROUNDUP(B457*100,0)&amp;"% Done",IF(B457&gt;1,"Optional","Complete"))))</f>
        <v>Not Started</v>
      </c>
      <c r="C458" s="281"/>
      <c r="D458" s="281"/>
      <c r="E458" s="281"/>
      <c r="F458" s="281"/>
      <c r="G458" s="281"/>
      <c r="H458" s="215"/>
      <c r="I458" s="457" t="s">
        <v>61</v>
      </c>
      <c r="J458" s="458"/>
      <c r="K458" s="457" t="s">
        <v>3554</v>
      </c>
      <c r="L458" s="458"/>
      <c r="M458" s="457" t="s">
        <v>220</v>
      </c>
      <c r="N458" s="458"/>
      <c r="O458" s="457" t="s">
        <v>274</v>
      </c>
      <c r="P458" s="458"/>
      <c r="Q458" s="457" t="s">
        <v>3555</v>
      </c>
      <c r="R458" s="458"/>
      <c r="S458" s="457" t="s">
        <v>3556</v>
      </c>
      <c r="T458" s="458"/>
      <c r="U458" s="589" t="s">
        <v>3557</v>
      </c>
      <c r="V458" s="590"/>
      <c r="W458" s="591"/>
      <c r="X458" s="165" t="str">
        <f ca="1">G252</f>
        <v/>
      </c>
      <c r="Y458" s="194"/>
    </row>
    <row r="459" spans="1:25" ht="39.950000000000003" customHeight="1" x14ac:dyDescent="0.2">
      <c r="A459" s="290" t="s">
        <v>3111</v>
      </c>
      <c r="B459" s="282" t="str">
        <f ca="1">IF(B456&gt;0,0,IF(B457&lt;1,"",2))</f>
        <v/>
      </c>
      <c r="C459" s="281"/>
      <c r="D459" s="281"/>
      <c r="E459" s="281"/>
      <c r="F459" s="281"/>
      <c r="G459" s="281"/>
      <c r="H459" s="215"/>
      <c r="I459" s="592"/>
      <c r="J459" s="592"/>
      <c r="K459" s="593"/>
      <c r="L459" s="593"/>
      <c r="M459" s="592"/>
      <c r="N459" s="592"/>
      <c r="O459" s="593"/>
      <c r="P459" s="593"/>
      <c r="Q459" s="593"/>
      <c r="R459" s="593"/>
      <c r="S459" s="592"/>
      <c r="T459" s="592"/>
      <c r="U459" s="592"/>
      <c r="V459" s="592"/>
      <c r="W459" s="592"/>
      <c r="Y459" s="194"/>
    </row>
    <row r="460" spans="1:25" ht="39.950000000000003" customHeight="1" x14ac:dyDescent="0.2">
      <c r="A460" s="290" t="s">
        <v>3112</v>
      </c>
      <c r="B460" s="293" t="s">
        <v>3103</v>
      </c>
      <c r="C460" s="281"/>
      <c r="D460" s="281"/>
      <c r="E460" s="281"/>
      <c r="F460" s="281"/>
      <c r="G460" s="281"/>
      <c r="H460" s="215"/>
      <c r="I460" s="592"/>
      <c r="J460" s="592"/>
      <c r="K460" s="593"/>
      <c r="L460" s="593"/>
      <c r="M460" s="592"/>
      <c r="N460" s="592"/>
      <c r="O460" s="593"/>
      <c r="P460" s="593"/>
      <c r="Q460" s="593"/>
      <c r="R460" s="593"/>
      <c r="S460" s="592"/>
      <c r="T460" s="592"/>
      <c r="U460" s="592"/>
      <c r="V460" s="592"/>
      <c r="W460" s="592"/>
      <c r="X460" s="153"/>
      <c r="Y460" s="194"/>
    </row>
    <row r="461" spans="1:25" ht="39.950000000000003" customHeight="1" x14ac:dyDescent="0.2">
      <c r="A461" s="294" t="s">
        <v>3113</v>
      </c>
      <c r="B461" s="282">
        <v>0</v>
      </c>
      <c r="C461" s="281" t="s">
        <v>2462</v>
      </c>
      <c r="D461" s="281"/>
      <c r="E461" s="281"/>
      <c r="F461" s="281"/>
      <c r="G461" s="281"/>
      <c r="H461" s="215"/>
      <c r="I461" s="592"/>
      <c r="J461" s="592"/>
      <c r="K461" s="593"/>
      <c r="L461" s="593"/>
      <c r="M461" s="592"/>
      <c r="N461" s="592"/>
      <c r="O461" s="593"/>
      <c r="P461" s="593"/>
      <c r="Q461" s="593"/>
      <c r="R461" s="593"/>
      <c r="S461" s="592"/>
      <c r="T461" s="592"/>
      <c r="U461" s="592"/>
      <c r="V461" s="592"/>
      <c r="W461" s="592"/>
      <c r="X461" s="153"/>
      <c r="Y461" s="194"/>
    </row>
    <row r="462" spans="1:25" ht="39.950000000000003" customHeight="1" x14ac:dyDescent="0.2">
      <c r="A462" s="294" t="s">
        <v>3114</v>
      </c>
      <c r="B462" s="282" t="b">
        <f>(B461&gt;0)</f>
        <v>0</v>
      </c>
      <c r="C462" s="281"/>
      <c r="D462" s="281"/>
      <c r="E462" s="281"/>
      <c r="F462" s="281"/>
      <c r="G462" s="281"/>
      <c r="H462" s="215"/>
      <c r="I462" s="592"/>
      <c r="J462" s="592"/>
      <c r="K462" s="593"/>
      <c r="L462" s="593"/>
      <c r="M462" s="592"/>
      <c r="N462" s="592"/>
      <c r="O462" s="593"/>
      <c r="P462" s="593"/>
      <c r="Q462" s="593"/>
      <c r="R462" s="593"/>
      <c r="S462" s="592"/>
      <c r="T462" s="592"/>
      <c r="U462" s="592"/>
      <c r="V462" s="592"/>
      <c r="W462" s="592"/>
      <c r="X462" s="153"/>
      <c r="Y462" s="194"/>
    </row>
    <row r="463" spans="1:25" ht="39.950000000000003" customHeight="1" x14ac:dyDescent="0.2">
      <c r="A463" s="440" t="s">
        <v>3895</v>
      </c>
      <c r="B463" s="282">
        <v>5</v>
      </c>
      <c r="C463" s="281"/>
      <c r="D463" s="281"/>
      <c r="E463" s="281"/>
      <c r="F463" s="281"/>
      <c r="G463" s="281"/>
      <c r="H463" s="215"/>
      <c r="I463" s="592"/>
      <c r="J463" s="592"/>
      <c r="K463" s="593"/>
      <c r="L463" s="593"/>
      <c r="M463" s="592"/>
      <c r="N463" s="592"/>
      <c r="O463" s="593"/>
      <c r="P463" s="593"/>
      <c r="Q463" s="593"/>
      <c r="R463" s="593"/>
      <c r="S463" s="592"/>
      <c r="T463" s="592"/>
      <c r="U463" s="592"/>
      <c r="V463" s="592"/>
      <c r="W463" s="592"/>
      <c r="X463" s="153"/>
      <c r="Y463" s="194"/>
    </row>
    <row r="464" spans="1:25" ht="39.950000000000003" customHeight="1" x14ac:dyDescent="0.2">
      <c r="A464" s="440" t="s">
        <v>3896</v>
      </c>
      <c r="B464" s="282">
        <f ca="1">DATA_SCORE_RURAL_FINAL</f>
        <v>0</v>
      </c>
      <c r="C464" s="281"/>
      <c r="D464" s="281"/>
      <c r="E464" s="281"/>
      <c r="F464" s="281"/>
      <c r="G464" s="281"/>
      <c r="H464" s="215"/>
      <c r="I464" s="592"/>
      <c r="J464" s="592"/>
      <c r="K464" s="593"/>
      <c r="L464" s="593"/>
      <c r="M464" s="592"/>
      <c r="N464" s="592"/>
      <c r="O464" s="593"/>
      <c r="P464" s="593"/>
      <c r="Q464" s="593"/>
      <c r="R464" s="593"/>
      <c r="S464" s="592"/>
      <c r="T464" s="592"/>
      <c r="U464" s="592"/>
      <c r="V464" s="592"/>
      <c r="W464" s="592"/>
      <c r="X464" s="153"/>
      <c r="Y464" s="194"/>
    </row>
    <row r="465" spans="1:25" ht="39.950000000000003" customHeight="1" x14ac:dyDescent="0.2">
      <c r="A465" s="440" t="s">
        <v>3897</v>
      </c>
      <c r="B465" s="282" t="str">
        <f>SUBSTITUTE(CONFIG_POINT_HEADER_TEMPLATE,"[MAX]",B463)</f>
        <v>(Maximum Points: 5)</v>
      </c>
      <c r="C465" s="281"/>
      <c r="D465" s="281"/>
      <c r="E465" s="281"/>
      <c r="F465" s="281"/>
      <c r="G465" s="281"/>
      <c r="H465" s="215"/>
      <c r="I465" s="592"/>
      <c r="J465" s="592"/>
      <c r="K465" s="593"/>
      <c r="L465" s="593"/>
      <c r="M465" s="592"/>
      <c r="N465" s="592"/>
      <c r="O465" s="593"/>
      <c r="P465" s="593"/>
      <c r="Q465" s="593"/>
      <c r="R465" s="593"/>
      <c r="S465" s="592"/>
      <c r="T465" s="592"/>
      <c r="U465" s="592"/>
      <c r="V465" s="592"/>
      <c r="W465" s="592"/>
      <c r="X465" s="153"/>
      <c r="Y465" s="194"/>
    </row>
    <row r="466" spans="1:25" ht="39.950000000000003" customHeight="1" x14ac:dyDescent="0.2">
      <c r="A466" s="440" t="s">
        <v>3898</v>
      </c>
      <c r="B466" s="441" t="str">
        <f ca="1">SUBSTITUTE(CONFIG_SCORE_SUBHEADER_TEMPLATE,"[SCORE]",ROUND(B464,2))</f>
        <v>Estimated Score: 0</v>
      </c>
      <c r="C466" s="281"/>
      <c r="D466" s="281"/>
      <c r="E466" s="281"/>
      <c r="F466" s="281"/>
      <c r="G466" s="281"/>
      <c r="H466" s="215"/>
      <c r="I466" s="592"/>
      <c r="J466" s="592"/>
      <c r="K466" s="593"/>
      <c r="L466" s="593"/>
      <c r="M466" s="592"/>
      <c r="N466" s="592"/>
      <c r="O466" s="593"/>
      <c r="P466" s="593"/>
      <c r="Q466" s="593"/>
      <c r="R466" s="593"/>
      <c r="S466" s="592"/>
      <c r="T466" s="592"/>
      <c r="U466" s="592"/>
      <c r="V466" s="592"/>
      <c r="W466" s="592"/>
      <c r="X466" s="153"/>
      <c r="Y466" s="194"/>
    </row>
    <row r="467" spans="1:25" ht="39.950000000000003" customHeight="1" x14ac:dyDescent="0.2">
      <c r="A467" s="285" t="s">
        <v>3219</v>
      </c>
      <c r="B467" s="305" t="str">
        <f>C467&amp;" "&amp;B481</f>
        <v>In-District Projects (Maximum Points: 5)</v>
      </c>
      <c r="C467" s="287" t="s">
        <v>3573</v>
      </c>
      <c r="D467" s="287"/>
      <c r="E467" s="287"/>
      <c r="F467" s="287"/>
      <c r="G467" s="172" t="str">
        <f>B476</f>
        <v>In-District Projects</v>
      </c>
      <c r="H467" s="215"/>
      <c r="I467" s="592"/>
      <c r="J467" s="592"/>
      <c r="K467" s="593"/>
      <c r="L467" s="593"/>
      <c r="M467" s="592"/>
      <c r="N467" s="592"/>
      <c r="O467" s="593"/>
      <c r="P467" s="593"/>
      <c r="Q467" s="593"/>
      <c r="R467" s="593"/>
      <c r="S467" s="592"/>
      <c r="T467" s="592"/>
      <c r="U467" s="592"/>
      <c r="V467" s="592"/>
      <c r="W467" s="592"/>
      <c r="X467" s="153"/>
      <c r="Y467" s="194"/>
    </row>
    <row r="468" spans="1:25" ht="39.950000000000003" customHeight="1" x14ac:dyDescent="0.2">
      <c r="A468" s="290" t="s">
        <v>3570</v>
      </c>
      <c r="B468" s="296" t="str">
        <f ca="1">VLOOKUP(A468,'$DB.DATA'!D:H,5,FALSE)</f>
        <v/>
      </c>
      <c r="C468" s="281">
        <f ca="1">VLOOKUP(A468,DB_TBL_DATA_FIELDS[[FIELD_ID]:[PCT_CALC_FIELD_STATUS_CODE]],22,FALSE)</f>
        <v>1</v>
      </c>
      <c r="D468" s="281" t="str">
        <f>IF(VLOOKUP(A468,DB_TBL_DATA_FIELDS[[FIELD_ID]:[ERROR_MESSAGE]],23,FALSE)&lt;&gt;0,VLOOKUP(A468,DB_TBL_DATA_FIELDS[[FIELD_ID]:[ERROR_MESSAGE]],23,FALSE),"")</f>
        <v/>
      </c>
      <c r="E468" s="281">
        <f>VLOOKUP(A468,DB_TBL_DATA_FIELDS[[#All],[FIELD_ID]:[RANGE_VALIDATION_MAX]],18,FALSE)</f>
        <v>0</v>
      </c>
      <c r="F468" s="281">
        <f>VLOOKUP(A468,DB_TBL_DATA_FIELDS[[#All],[FIELD_ID]:[RANGE_VALIDATION_MAX]],19,FALSE)</f>
        <v>1</v>
      </c>
      <c r="G468" s="281">
        <f t="shared" ref="G468" ca="1" si="60">IF(C468&lt;0,"",C468)</f>
        <v>1</v>
      </c>
      <c r="H468" s="215"/>
      <c r="I468" s="592"/>
      <c r="J468" s="592"/>
      <c r="K468" s="593"/>
      <c r="L468" s="593"/>
      <c r="M468" s="592"/>
      <c r="N468" s="592"/>
      <c r="O468" s="593"/>
      <c r="P468" s="593"/>
      <c r="Q468" s="593"/>
      <c r="R468" s="593"/>
      <c r="S468" s="592"/>
      <c r="T468" s="592"/>
      <c r="U468" s="592"/>
      <c r="V468" s="592"/>
      <c r="W468" s="592"/>
      <c r="X468" s="153"/>
      <c r="Y468" s="194"/>
    </row>
    <row r="469" spans="1:25" ht="21.95" customHeight="1" x14ac:dyDescent="0.2">
      <c r="A469" s="290" t="s">
        <v>3220</v>
      </c>
      <c r="B469" s="282" t="str">
        <f>"C"&amp;MATCH(LEFT(A469,LEN(A469)-LEN("_RANGE")),A:A,0)+1&amp;":C"&amp;(ROW()-1)</f>
        <v>C468:C468</v>
      </c>
      <c r="C469" s="281"/>
      <c r="D469" s="281"/>
      <c r="E469" s="281"/>
      <c r="F469" s="281"/>
      <c r="G469" s="281"/>
      <c r="H469" s="215"/>
      <c r="I469" s="225" t="s">
        <v>2768</v>
      </c>
      <c r="J469" s="142"/>
      <c r="K469" s="142"/>
      <c r="L469" s="142"/>
      <c r="M469" s="142"/>
      <c r="N469" s="142"/>
      <c r="O469" s="142"/>
      <c r="P469" s="142"/>
      <c r="Q469" s="142"/>
      <c r="R469" s="142"/>
      <c r="S469" s="142"/>
      <c r="T469" s="142"/>
      <c r="U469" s="142"/>
      <c r="V469" s="142"/>
      <c r="W469" s="142"/>
      <c r="X469" s="153"/>
      <c r="Y469" s="194"/>
    </row>
    <row r="470" spans="1:25" ht="21.95" customHeight="1" x14ac:dyDescent="0.2">
      <c r="A470" s="290" t="s">
        <v>3221</v>
      </c>
      <c r="B470" s="282">
        <f ca="1">COUNTIF(INDIRECT($B469),2)</f>
        <v>0</v>
      </c>
      <c r="C470" s="281"/>
      <c r="D470" s="281"/>
      <c r="E470" s="281"/>
      <c r="F470" s="281"/>
      <c r="G470" s="281"/>
      <c r="H470" s="215"/>
      <c r="I470" s="209"/>
      <c r="J470" s="347"/>
      <c r="K470" s="347"/>
      <c r="L470" s="347"/>
      <c r="M470" s="347"/>
      <c r="N470" s="347"/>
      <c r="O470" s="347"/>
      <c r="P470" s="347"/>
      <c r="Q470" s="347"/>
      <c r="R470" s="347"/>
      <c r="S470" s="347"/>
      <c r="T470" s="347"/>
      <c r="U470" s="347"/>
      <c r="V470" s="347"/>
      <c r="W470" s="175" t="str">
        <f>SUBSTITUTE(SUBSTITUTE(SUBSTITUTE(IF(LEN(B253)&gt;F253,CONFIG_CHAR_LIMIT_TEMPLATE_ERR,CONFIG_CHAR_LIMIT_TEMPLATE),"[diff]",ABS(LEN(B253)-F253)),"[limit]",F253),"[used]",LEN(B253))</f>
        <v>1500 character(s) remaining</v>
      </c>
      <c r="X470" s="153"/>
      <c r="Y470" s="194"/>
    </row>
    <row r="471" spans="1:25" ht="21.95" customHeight="1" x14ac:dyDescent="0.2">
      <c r="A471" s="290" t="s">
        <v>3222</v>
      </c>
      <c r="B471" s="282">
        <f ca="1">COUNTIF(INDIRECT($B469),0)+COUNTIF(INDIRECT($B469),1)+COUNTIF(INDIRECT($B469),2)</f>
        <v>1</v>
      </c>
      <c r="C471" s="281"/>
      <c r="D471" s="281"/>
      <c r="E471" s="281"/>
      <c r="F471" s="281"/>
      <c r="G471" s="281"/>
      <c r="H471" s="215"/>
      <c r="I471" s="500"/>
      <c r="J471" s="501"/>
      <c r="K471" s="501"/>
      <c r="L471" s="501"/>
      <c r="M471" s="501"/>
      <c r="N471" s="501"/>
      <c r="O471" s="501"/>
      <c r="P471" s="501"/>
      <c r="Q471" s="501"/>
      <c r="R471" s="501"/>
      <c r="S471" s="501"/>
      <c r="T471" s="501"/>
      <c r="U471" s="501"/>
      <c r="V471" s="501"/>
      <c r="W471" s="502"/>
      <c r="X471" s="165" t="str">
        <f ca="1">G253</f>
        <v/>
      </c>
      <c r="Y471" s="194"/>
    </row>
    <row r="472" spans="1:25" ht="21.95" customHeight="1" x14ac:dyDescent="0.2">
      <c r="A472" s="290" t="s">
        <v>3223</v>
      </c>
      <c r="B472" s="282">
        <f ca="1">COUNTIF(INDIRECT($B469),0)</f>
        <v>0</v>
      </c>
      <c r="C472" s="281" t="s">
        <v>2607</v>
      </c>
      <c r="D472" s="281"/>
      <c r="E472" s="281"/>
      <c r="F472" s="281"/>
      <c r="G472" s="281"/>
      <c r="H472" s="215"/>
      <c r="I472" s="503"/>
      <c r="J472" s="504"/>
      <c r="K472" s="504"/>
      <c r="L472" s="504"/>
      <c r="M472" s="504"/>
      <c r="N472" s="504"/>
      <c r="O472" s="504"/>
      <c r="P472" s="504"/>
      <c r="Q472" s="504"/>
      <c r="R472" s="504"/>
      <c r="S472" s="504"/>
      <c r="T472" s="504"/>
      <c r="U472" s="504"/>
      <c r="V472" s="504"/>
      <c r="W472" s="505"/>
      <c r="X472" s="153"/>
      <c r="Y472" s="194"/>
    </row>
    <row r="473" spans="1:25" ht="21.95" customHeight="1" x14ac:dyDescent="0.2">
      <c r="A473" s="290" t="s">
        <v>3224</v>
      </c>
      <c r="B473" s="291">
        <f ca="1">IFERROR(B470/B471,1.01)</f>
        <v>0</v>
      </c>
      <c r="C473" s="281"/>
      <c r="D473" s="281"/>
      <c r="E473" s="281"/>
      <c r="F473" s="281"/>
      <c r="G473" s="281"/>
      <c r="H473" s="215"/>
      <c r="I473" s="503"/>
      <c r="J473" s="504"/>
      <c r="K473" s="504"/>
      <c r="L473" s="504"/>
      <c r="M473" s="504"/>
      <c r="N473" s="504"/>
      <c r="O473" s="504"/>
      <c r="P473" s="504"/>
      <c r="Q473" s="504"/>
      <c r="R473" s="504"/>
      <c r="S473" s="504"/>
      <c r="T473" s="504"/>
      <c r="U473" s="504"/>
      <c r="V473" s="504"/>
      <c r="W473" s="505"/>
      <c r="X473" s="153"/>
      <c r="Y473" s="194"/>
    </row>
    <row r="474" spans="1:25" ht="21.95" customHeight="1" x14ac:dyDescent="0.2">
      <c r="A474" s="290" t="s">
        <v>3225</v>
      </c>
      <c r="B474" s="292" t="str">
        <f ca="1">IF(B472&gt;0,"Data Error(s)",IF(B473=0,"Not Started",IF(B473&lt;1,ROUNDUP(B473*100,0)&amp;"% Done",IF(B473&gt;1,"Optional","Complete"))))</f>
        <v>Not Started</v>
      </c>
      <c r="C474" s="281"/>
      <c r="D474" s="281"/>
      <c r="E474" s="281"/>
      <c r="F474" s="281"/>
      <c r="G474" s="281"/>
      <c r="H474" s="215"/>
      <c r="I474" s="503"/>
      <c r="J474" s="504"/>
      <c r="K474" s="504"/>
      <c r="L474" s="504"/>
      <c r="M474" s="504"/>
      <c r="N474" s="504"/>
      <c r="O474" s="504"/>
      <c r="P474" s="504"/>
      <c r="Q474" s="504"/>
      <c r="R474" s="504"/>
      <c r="S474" s="504"/>
      <c r="T474" s="504"/>
      <c r="U474" s="504"/>
      <c r="V474" s="504"/>
      <c r="W474" s="505"/>
      <c r="X474" s="153"/>
      <c r="Y474" s="194"/>
    </row>
    <row r="475" spans="1:25" ht="21.95" customHeight="1" x14ac:dyDescent="0.2">
      <c r="A475" s="290" t="s">
        <v>3226</v>
      </c>
      <c r="B475" s="282" t="str">
        <f ca="1">IF(B472&gt;0,0,IF(B473&lt;1,"",2))</f>
        <v/>
      </c>
      <c r="C475" s="281"/>
      <c r="D475" s="281"/>
      <c r="E475" s="281"/>
      <c r="F475" s="281"/>
      <c r="G475" s="281"/>
      <c r="H475" s="215"/>
      <c r="I475" s="503"/>
      <c r="J475" s="504"/>
      <c r="K475" s="504"/>
      <c r="L475" s="504"/>
      <c r="M475" s="504"/>
      <c r="N475" s="504"/>
      <c r="O475" s="504"/>
      <c r="P475" s="504"/>
      <c r="Q475" s="504"/>
      <c r="R475" s="504"/>
      <c r="S475" s="504"/>
      <c r="T475" s="504"/>
      <c r="U475" s="504"/>
      <c r="V475" s="504"/>
      <c r="W475" s="505"/>
      <c r="X475" s="153"/>
      <c r="Y475" s="194"/>
    </row>
    <row r="476" spans="1:25" ht="21.95" customHeight="1" x14ac:dyDescent="0.2">
      <c r="A476" s="290" t="s">
        <v>3227</v>
      </c>
      <c r="B476" s="293" t="s">
        <v>3573</v>
      </c>
      <c r="C476" s="281"/>
      <c r="D476" s="281"/>
      <c r="E476" s="281"/>
      <c r="F476" s="281"/>
      <c r="G476" s="281"/>
      <c r="H476" s="215"/>
      <c r="I476" s="506"/>
      <c r="J476" s="507"/>
      <c r="K476" s="507"/>
      <c r="L476" s="507"/>
      <c r="M476" s="507"/>
      <c r="N476" s="507"/>
      <c r="O476" s="507"/>
      <c r="P476" s="507"/>
      <c r="Q476" s="507"/>
      <c r="R476" s="507"/>
      <c r="S476" s="507"/>
      <c r="T476" s="507"/>
      <c r="U476" s="507"/>
      <c r="V476" s="507"/>
      <c r="W476" s="508"/>
      <c r="X476" s="153"/>
      <c r="Y476" s="194"/>
    </row>
    <row r="477" spans="1:25" ht="21.95" customHeight="1" x14ac:dyDescent="0.2">
      <c r="A477" s="294" t="s">
        <v>3228</v>
      </c>
      <c r="B477" s="282">
        <v>0</v>
      </c>
      <c r="C477" s="281" t="s">
        <v>2462</v>
      </c>
      <c r="D477" s="281"/>
      <c r="E477" s="281"/>
      <c r="F477" s="281"/>
      <c r="G477" s="281"/>
      <c r="H477" s="215"/>
      <c r="I477" s="194"/>
      <c r="J477" s="153"/>
      <c r="K477" s="194"/>
      <c r="L477" s="153"/>
      <c r="M477" s="194"/>
      <c r="N477" s="153"/>
      <c r="O477" s="194"/>
      <c r="P477" s="153"/>
      <c r="Q477" s="194"/>
      <c r="R477" s="153"/>
      <c r="S477" s="194"/>
      <c r="T477" s="153"/>
      <c r="U477" s="194"/>
      <c r="V477" s="153"/>
      <c r="W477" s="194"/>
      <c r="X477" s="153"/>
      <c r="Y477" s="194"/>
    </row>
    <row r="478" spans="1:25" ht="21.95" customHeight="1" thickBot="1" x14ac:dyDescent="0.25">
      <c r="A478" s="294" t="s">
        <v>3229</v>
      </c>
      <c r="B478" s="282" t="b">
        <f>(B477&gt;0)</f>
        <v>0</v>
      </c>
      <c r="C478" s="281"/>
      <c r="D478" s="281"/>
      <c r="E478" s="281"/>
      <c r="F478" s="281"/>
      <c r="G478" s="281"/>
      <c r="H478" s="215"/>
      <c r="I478" s="424" t="str">
        <f>B264</f>
        <v>Targeting to Lower-Income Households (Maximum Points: 20)</v>
      </c>
      <c r="J478" s="269"/>
      <c r="K478" s="269"/>
      <c r="L478" s="269"/>
      <c r="M478" s="269"/>
      <c r="N478" s="269"/>
      <c r="O478" s="269"/>
      <c r="P478" s="269"/>
      <c r="Q478" s="269"/>
      <c r="R478" s="269"/>
      <c r="S478" s="269"/>
      <c r="T478" s="269"/>
      <c r="U478" s="269"/>
      <c r="V478" s="269"/>
      <c r="W478" s="269"/>
      <c r="X478" s="167" t="str">
        <f ca="1">"Status: "&amp;B299</f>
        <v>Status: Not Started</v>
      </c>
      <c r="Y478" s="194"/>
    </row>
    <row r="479" spans="1:25" ht="21.95" customHeight="1" x14ac:dyDescent="0.2">
      <c r="A479" s="440" t="s">
        <v>3891</v>
      </c>
      <c r="B479" s="282">
        <v>5</v>
      </c>
      <c r="C479" s="281"/>
      <c r="D479" s="281"/>
      <c r="E479" s="281"/>
      <c r="F479" s="281"/>
      <c r="G479" s="281"/>
      <c r="H479" s="215"/>
      <c r="I479" s="710" t="s">
        <v>3502</v>
      </c>
      <c r="J479" s="710"/>
      <c r="K479" s="710"/>
      <c r="L479" s="710"/>
      <c r="M479" s="710"/>
      <c r="N479" s="710"/>
      <c r="O479" s="710"/>
      <c r="P479" s="710"/>
      <c r="Q479" s="710"/>
      <c r="R479" s="710"/>
      <c r="S479" s="710"/>
      <c r="T479" s="710"/>
      <c r="U479" s="710"/>
      <c r="V479" s="710"/>
      <c r="W479" s="710"/>
      <c r="X479" s="153"/>
      <c r="Y479" s="194"/>
    </row>
    <row r="480" spans="1:25" ht="21.95" customHeight="1" x14ac:dyDescent="0.2">
      <c r="A480" s="440" t="s">
        <v>3892</v>
      </c>
      <c r="B480" s="282">
        <f ca="1">DATA_SCORE_INDISTRICT_FINAL</f>
        <v>0</v>
      </c>
      <c r="C480" s="281"/>
      <c r="D480" s="281"/>
      <c r="E480" s="281"/>
      <c r="F480" s="281"/>
      <c r="G480" s="281"/>
      <c r="H480" s="215"/>
      <c r="I480" s="711"/>
      <c r="J480" s="711"/>
      <c r="K480" s="711"/>
      <c r="L480" s="711"/>
      <c r="M480" s="711"/>
      <c r="N480" s="711"/>
      <c r="O480" s="711"/>
      <c r="P480" s="711"/>
      <c r="Q480" s="711"/>
      <c r="R480" s="711"/>
      <c r="S480" s="711"/>
      <c r="T480" s="711"/>
      <c r="U480" s="711"/>
      <c r="V480" s="711"/>
      <c r="W480" s="711"/>
      <c r="X480" s="153"/>
      <c r="Y480" s="194"/>
    </row>
    <row r="481" spans="1:25" ht="21.95" customHeight="1" x14ac:dyDescent="0.2">
      <c r="A481" s="440" t="s">
        <v>3893</v>
      </c>
      <c r="B481" s="282" t="str">
        <f>SUBSTITUTE(CONFIG_POINT_HEADER_TEMPLATE,"[MAX]",B479)</f>
        <v>(Maximum Points: 5)</v>
      </c>
      <c r="C481" s="281"/>
      <c r="D481" s="281"/>
      <c r="E481" s="281"/>
      <c r="F481" s="281"/>
      <c r="G481" s="281"/>
      <c r="H481" s="215"/>
      <c r="I481" s="236"/>
      <c r="J481" s="153"/>
      <c r="K481" s="215"/>
      <c r="L481" s="153"/>
      <c r="M481" s="215"/>
      <c r="N481" s="153"/>
      <c r="O481" s="215"/>
      <c r="P481" s="153"/>
      <c r="Q481" s="215"/>
      <c r="R481" s="153"/>
      <c r="S481" s="194"/>
      <c r="T481" s="153"/>
      <c r="U481" s="215"/>
      <c r="V481" s="153"/>
      <c r="W481" s="215"/>
      <c r="X481" s="153"/>
      <c r="Y481" s="194"/>
    </row>
    <row r="482" spans="1:25" ht="21.95" customHeight="1" x14ac:dyDescent="0.2">
      <c r="A482" s="440" t="s">
        <v>3894</v>
      </c>
      <c r="B482" s="441" t="str">
        <f ca="1">SUBSTITUTE(CONFIG_SCORE_SUBHEADER_TEMPLATE,"[SCORE]",ROUND(B480,2))</f>
        <v>Estimated Score: 0</v>
      </c>
      <c r="C482" s="281"/>
      <c r="D482" s="281"/>
      <c r="E482" s="281"/>
      <c r="F482" s="281"/>
      <c r="G482" s="281"/>
      <c r="H482" s="215"/>
      <c r="I482" s="237" t="s">
        <v>2930</v>
      </c>
      <c r="J482" s="153"/>
      <c r="K482" s="194"/>
      <c r="L482" s="153"/>
      <c r="M482" s="215"/>
      <c r="N482" s="153"/>
      <c r="O482" s="238" t="s">
        <v>3503</v>
      </c>
      <c r="P482" s="239"/>
      <c r="Q482" s="240"/>
      <c r="R482" s="239"/>
      <c r="S482" s="240"/>
      <c r="T482" s="239"/>
      <c r="U482" s="240"/>
      <c r="V482" s="239"/>
      <c r="W482" s="240"/>
      <c r="X482" s="153"/>
      <c r="Y482" s="194"/>
    </row>
    <row r="483" spans="1:25" ht="21.95" customHeight="1" x14ac:dyDescent="0.2">
      <c r="A483" s="285" t="s">
        <v>3315</v>
      </c>
      <c r="B483" s="305" t="str">
        <f>C483&amp;" "&amp;B522</f>
        <v>Project Readiness (Maximum Points: 7)</v>
      </c>
      <c r="C483" s="287" t="s">
        <v>3208</v>
      </c>
      <c r="D483" s="287"/>
      <c r="E483" s="287"/>
      <c r="F483" s="287"/>
      <c r="G483" s="172" t="str">
        <f>B517</f>
        <v>Project Readiness</v>
      </c>
      <c r="H483" s="215"/>
      <c r="I483" s="482"/>
      <c r="J483" s="483"/>
      <c r="K483" s="484"/>
      <c r="L483" s="165">
        <f ca="1">G265</f>
        <v>1</v>
      </c>
      <c r="M483" s="208"/>
      <c r="N483" s="208"/>
      <c r="O483" s="567" t="s">
        <v>2928</v>
      </c>
      <c r="P483" s="568"/>
      <c r="Q483" s="470" t="s">
        <v>326</v>
      </c>
      <c r="R483" s="471"/>
      <c r="S483" s="471"/>
      <c r="T483" s="472"/>
      <c r="U483" s="470" t="s">
        <v>2927</v>
      </c>
      <c r="V483" s="471"/>
      <c r="W483" s="472"/>
      <c r="X483" s="153"/>
      <c r="Y483" s="194"/>
    </row>
    <row r="484" spans="1:25" ht="21.95" customHeight="1" x14ac:dyDescent="0.2">
      <c r="A484" s="273" t="s">
        <v>3125</v>
      </c>
      <c r="B484" s="288" t="str">
        <f>IF(I862&lt;&gt;"",I862,"")</f>
        <v/>
      </c>
      <c r="C484" s="281">
        <f ca="1">VLOOKUP(A484,DB_TBL_DATA_FIELDS[[FIELD_ID]:[PCT_CALC_FIELD_STATUS_CODE]],22,FALSE)</f>
        <v>1</v>
      </c>
      <c r="D484" s="281" t="str">
        <f ca="1">IF(VLOOKUP(A484,DB_TBL_DATA_FIELDS[[FIELD_ID]:[ERROR_MESSAGE]],23,FALSE)&lt;&gt;0,VLOOKUP(A484,DB_TBL_DATA_FIELDS[[FIELD_ID]:[ERROR_MESSAGE]],23,FALSE),"")</f>
        <v/>
      </c>
      <c r="E484" s="281">
        <f>VLOOKUP(A484,DB_TBL_DATA_FIELDS[[#All],[FIELD_ID]:[RANGE_VALIDATION_MAX]],18,FALSE)</f>
        <v>0</v>
      </c>
      <c r="F484" s="281">
        <f>VLOOKUP(A484,DB_TBL_DATA_FIELDS[[#All],[FIELD_ID]:[RANGE_VALIDATION_MAX]],19,FALSE)</f>
        <v>999999999999</v>
      </c>
      <c r="G484" s="281">
        <f ca="1">IF(C484&lt;0,"",C484)</f>
        <v>1</v>
      </c>
      <c r="H484" s="215"/>
      <c r="I484" s="594" t="str">
        <f ca="1">D265</f>
        <v/>
      </c>
      <c r="J484" s="549"/>
      <c r="K484" s="549"/>
      <c r="L484" s="178"/>
      <c r="M484" s="204"/>
      <c r="N484" s="204"/>
      <c r="O484" s="475">
        <v>1</v>
      </c>
      <c r="P484" s="476"/>
      <c r="Q484" s="587"/>
      <c r="R484" s="588"/>
      <c r="S484" s="588"/>
      <c r="T484" s="179" t="str">
        <f t="shared" ref="T484:T495" ca="1" si="61">G267</f>
        <v/>
      </c>
      <c r="U484" s="479"/>
      <c r="V484" s="480"/>
      <c r="W484" s="481"/>
      <c r="X484" s="165" t="str">
        <f t="shared" ref="X484:X495" ca="1" si="62">G279</f>
        <v/>
      </c>
      <c r="Y484" s="194"/>
    </row>
    <row r="485" spans="1:25" ht="21.95" customHeight="1" x14ac:dyDescent="0.2">
      <c r="A485" s="273" t="s">
        <v>3128</v>
      </c>
      <c r="B485" s="288" t="str">
        <f>IF(Q862&lt;&gt;"",Q862,"")</f>
        <v/>
      </c>
      <c r="C485" s="281">
        <f ca="1">VLOOKUP(A485,DB_TBL_DATA_FIELDS[[FIELD_ID]:[PCT_CALC_FIELD_STATUS_CODE]],22,FALSE)</f>
        <v>-1</v>
      </c>
      <c r="D485" s="281" t="str">
        <f>IF(VLOOKUP(A485,DB_TBL_DATA_FIELDS[[FIELD_ID]:[ERROR_MESSAGE]],23,FALSE)&lt;&gt;0,VLOOKUP(A485,DB_TBL_DATA_FIELDS[[FIELD_ID]:[ERROR_MESSAGE]],23,FALSE),"")</f>
        <v/>
      </c>
      <c r="E485" s="281">
        <f>VLOOKUP(A485,DB_TBL_DATA_FIELDS[[#All],[FIELD_ID]:[RANGE_VALIDATION_MAX]],18,FALSE)</f>
        <v>0</v>
      </c>
      <c r="F485" s="281">
        <f>VLOOKUP(A485,DB_TBL_DATA_FIELDS[[#All],[FIELD_ID]:[RANGE_VALIDATION_MAX]],19,FALSE)</f>
        <v>32767</v>
      </c>
      <c r="G485" s="281" t="str">
        <f t="shared" ref="G485" ca="1" si="63">IF(C485&lt;0,"",C485)</f>
        <v/>
      </c>
      <c r="H485" s="215"/>
      <c r="I485" s="595"/>
      <c r="J485" s="595"/>
      <c r="K485" s="595"/>
      <c r="L485" s="178"/>
      <c r="M485" s="204"/>
      <c r="N485" s="204"/>
      <c r="O485" s="475">
        <v>2</v>
      </c>
      <c r="P485" s="476"/>
      <c r="Q485" s="477"/>
      <c r="R485" s="478"/>
      <c r="S485" s="478"/>
      <c r="T485" s="180" t="str">
        <f t="shared" ca="1" si="61"/>
        <v/>
      </c>
      <c r="U485" s="479"/>
      <c r="V485" s="480"/>
      <c r="W485" s="481"/>
      <c r="X485" s="165" t="str">
        <f t="shared" ca="1" si="62"/>
        <v/>
      </c>
      <c r="Y485" s="194"/>
    </row>
    <row r="486" spans="1:25" ht="21.95" customHeight="1" x14ac:dyDescent="0.2">
      <c r="A486" s="273" t="s">
        <v>3129</v>
      </c>
      <c r="B486" s="288" t="str">
        <f>IF(I866&lt;&gt;"",I866,"")</f>
        <v/>
      </c>
      <c r="C486" s="281">
        <f ca="1">VLOOKUP(A486,DB_TBL_DATA_FIELDS[[FIELD_ID]:[PCT_CALC_FIELD_STATUS_CODE]],22,FALSE)</f>
        <v>-1</v>
      </c>
      <c r="D486" s="281" t="str">
        <f>IF(VLOOKUP(A486,DB_TBL_DATA_FIELDS[[FIELD_ID]:[ERROR_MESSAGE]],23,FALSE)&lt;&gt;0,VLOOKUP(A486,DB_TBL_DATA_FIELDS[[FIELD_ID]:[ERROR_MESSAGE]],23,FALSE),"")</f>
        <v/>
      </c>
      <c r="E486" s="281">
        <f>VLOOKUP(A486,DB_TBL_DATA_FIELDS[[#All],[FIELD_ID]:[RANGE_VALIDATION_MAX]],18,FALSE)</f>
        <v>0</v>
      </c>
      <c r="F486" s="281">
        <f>VLOOKUP(A486,DB_TBL_DATA_FIELDS[[#All],[FIELD_ID]:[RANGE_VALIDATION_MAX]],19,FALSE)</f>
        <v>32767</v>
      </c>
      <c r="G486" s="281" t="str">
        <f t="shared" ref="G486:G509" ca="1" si="64">IF(C486&lt;0,"",C486)</f>
        <v/>
      </c>
      <c r="H486" s="215"/>
      <c r="I486" s="226" t="s">
        <v>3504</v>
      </c>
      <c r="J486" s="153"/>
      <c r="K486" s="194"/>
      <c r="L486" s="153"/>
      <c r="M486" s="204"/>
      <c r="N486" s="204"/>
      <c r="O486" s="475">
        <v>3</v>
      </c>
      <c r="P486" s="476"/>
      <c r="Q486" s="477"/>
      <c r="R486" s="478"/>
      <c r="S486" s="478"/>
      <c r="T486" s="180" t="str">
        <f t="shared" ca="1" si="61"/>
        <v/>
      </c>
      <c r="U486" s="479"/>
      <c r="V486" s="480"/>
      <c r="W486" s="481"/>
      <c r="X486" s="165" t="str">
        <f t="shared" ca="1" si="62"/>
        <v/>
      </c>
      <c r="Y486" s="194"/>
    </row>
    <row r="487" spans="1:25" ht="21.95" customHeight="1" x14ac:dyDescent="0.2">
      <c r="A487" s="273" t="s">
        <v>3131</v>
      </c>
      <c r="B487" s="288" t="str">
        <f>IF(Q866&lt;&gt;"",Q866,"")</f>
        <v/>
      </c>
      <c r="C487" s="281">
        <f ca="1">VLOOKUP(A487,DB_TBL_DATA_FIELDS[[FIELD_ID]:[PCT_CALC_FIELD_STATUS_CODE]],22,FALSE)</f>
        <v>-1</v>
      </c>
      <c r="D487" s="281" t="str">
        <f>IF(VLOOKUP(A487,DB_TBL_DATA_FIELDS[[FIELD_ID]:[ERROR_MESSAGE]],23,FALSE)&lt;&gt;0,VLOOKUP(A487,DB_TBL_DATA_FIELDS[[FIELD_ID]:[ERROR_MESSAGE]],23,FALSE),"")</f>
        <v/>
      </c>
      <c r="E487" s="281">
        <f>VLOOKUP(A487,DB_TBL_DATA_FIELDS[[#All],[FIELD_ID]:[RANGE_VALIDATION_MAX]],18,FALSE)</f>
        <v>0</v>
      </c>
      <c r="F487" s="281">
        <f>VLOOKUP(A487,DB_TBL_DATA_FIELDS[[#All],[FIELD_ID]:[RANGE_VALIDATION_MAX]],19,FALSE)</f>
        <v>32767</v>
      </c>
      <c r="G487" s="281" t="str">
        <f t="shared" ca="1" si="64"/>
        <v/>
      </c>
      <c r="H487" s="215"/>
      <c r="I487" s="482"/>
      <c r="J487" s="483"/>
      <c r="K487" s="484"/>
      <c r="L487" s="165">
        <f ca="1">G266</f>
        <v>1</v>
      </c>
      <c r="M487" s="204"/>
      <c r="N487" s="204"/>
      <c r="O487" s="475">
        <v>4</v>
      </c>
      <c r="P487" s="476"/>
      <c r="Q487" s="477"/>
      <c r="R487" s="478"/>
      <c r="S487" s="478"/>
      <c r="T487" s="180" t="str">
        <f t="shared" ca="1" si="61"/>
        <v/>
      </c>
      <c r="U487" s="479"/>
      <c r="V487" s="480"/>
      <c r="W487" s="481"/>
      <c r="X487" s="165" t="str">
        <f t="shared" ca="1" si="62"/>
        <v/>
      </c>
      <c r="Y487" s="194"/>
    </row>
    <row r="488" spans="1:25" ht="21.95" customHeight="1" x14ac:dyDescent="0.2">
      <c r="A488" s="273" t="s">
        <v>3133</v>
      </c>
      <c r="B488" s="288" t="str">
        <f>IF(I868&lt;&gt;"",I868,"")</f>
        <v/>
      </c>
      <c r="C488" s="281">
        <f ca="1">VLOOKUP(A488,DB_TBL_DATA_FIELDS[[FIELD_ID]:[PCT_CALC_FIELD_STATUS_CODE]],22,FALSE)</f>
        <v>-1</v>
      </c>
      <c r="D488" s="281" t="str">
        <f>IF(VLOOKUP(A488,DB_TBL_DATA_FIELDS[[FIELD_ID]:[ERROR_MESSAGE]],23,FALSE)&lt;&gt;0,VLOOKUP(A488,DB_TBL_DATA_FIELDS[[FIELD_ID]:[ERROR_MESSAGE]],23,FALSE),"")</f>
        <v/>
      </c>
      <c r="E488" s="281">
        <f>VLOOKUP(A488,DB_TBL_DATA_FIELDS[[#All],[FIELD_ID]:[RANGE_VALIDATION_MAX]],18,FALSE)</f>
        <v>0</v>
      </c>
      <c r="F488" s="281">
        <f>VLOOKUP(A488,DB_TBL_DATA_FIELDS[[#All],[FIELD_ID]:[RANGE_VALIDATION_MAX]],19,FALSE)</f>
        <v>32767</v>
      </c>
      <c r="G488" s="281" t="str">
        <f t="shared" ca="1" si="64"/>
        <v/>
      </c>
      <c r="H488" s="215"/>
      <c r="I488" s="537" t="str">
        <f ca="1">D266</f>
        <v/>
      </c>
      <c r="J488" s="538"/>
      <c r="K488" s="538"/>
      <c r="L488" s="241"/>
      <c r="M488" s="204"/>
      <c r="N488" s="204"/>
      <c r="O488" s="475">
        <v>5</v>
      </c>
      <c r="P488" s="476"/>
      <c r="Q488" s="477"/>
      <c r="R488" s="478"/>
      <c r="S488" s="478"/>
      <c r="T488" s="180" t="str">
        <f t="shared" ca="1" si="61"/>
        <v/>
      </c>
      <c r="U488" s="479"/>
      <c r="V488" s="480"/>
      <c r="W488" s="481"/>
      <c r="X488" s="165" t="str">
        <f t="shared" ca="1" si="62"/>
        <v/>
      </c>
      <c r="Y488" s="194"/>
    </row>
    <row r="489" spans="1:25" ht="21.95" customHeight="1" x14ac:dyDescent="0.2">
      <c r="A489" s="273" t="s">
        <v>3135</v>
      </c>
      <c r="B489" s="288" t="str">
        <f>IF(Q868&lt;&gt;"",Q868,"")</f>
        <v/>
      </c>
      <c r="C489" s="281">
        <f ca="1">VLOOKUP(A489,DB_TBL_DATA_FIELDS[[FIELD_ID]:[PCT_CALC_FIELD_STATUS_CODE]],22,FALSE)</f>
        <v>-1</v>
      </c>
      <c r="D489" s="281" t="str">
        <f>IF(VLOOKUP(A489,DB_TBL_DATA_FIELDS[[FIELD_ID]:[ERROR_MESSAGE]],23,FALSE)&lt;&gt;0,VLOOKUP(A489,DB_TBL_DATA_FIELDS[[FIELD_ID]:[ERROR_MESSAGE]],23,FALSE),"")</f>
        <v/>
      </c>
      <c r="E489" s="281">
        <f>VLOOKUP(A489,DB_TBL_DATA_FIELDS[[#All],[FIELD_ID]:[RANGE_VALIDATION_MAX]],18,FALSE)</f>
        <v>0</v>
      </c>
      <c r="F489" s="281">
        <f>VLOOKUP(A489,DB_TBL_DATA_FIELDS[[#All],[FIELD_ID]:[RANGE_VALIDATION_MAX]],19,FALSE)</f>
        <v>999999999999</v>
      </c>
      <c r="G489" s="281" t="str">
        <f t="shared" ca="1" si="64"/>
        <v/>
      </c>
      <c r="H489" s="215"/>
      <c r="I489" s="226" t="s">
        <v>2929</v>
      </c>
      <c r="J489" s="204"/>
      <c r="K489" s="204"/>
      <c r="L489" s="204"/>
      <c r="M489" s="204"/>
      <c r="N489" s="204"/>
      <c r="O489" s="475">
        <v>6</v>
      </c>
      <c r="P489" s="476"/>
      <c r="Q489" s="477"/>
      <c r="R489" s="478"/>
      <c r="S489" s="478"/>
      <c r="T489" s="180" t="str">
        <f t="shared" ca="1" si="61"/>
        <v/>
      </c>
      <c r="U489" s="479"/>
      <c r="V489" s="480"/>
      <c r="W489" s="481"/>
      <c r="X489" s="165" t="str">
        <f t="shared" ca="1" si="62"/>
        <v/>
      </c>
      <c r="Y489" s="194"/>
    </row>
    <row r="490" spans="1:25" ht="21.95" customHeight="1" x14ac:dyDescent="0.2">
      <c r="A490" s="273" t="s">
        <v>3137</v>
      </c>
      <c r="B490" s="288" t="str">
        <f>IF(W870="","",IF(UPPER(W870)="YES",TRUE,FALSE))</f>
        <v/>
      </c>
      <c r="C490" s="281">
        <f ca="1">VLOOKUP(A490,DB_TBL_DATA_FIELDS[[FIELD_ID]:[PCT_CALC_FIELD_STATUS_CODE]],22,FALSE)</f>
        <v>-1</v>
      </c>
      <c r="D490" s="281" t="str">
        <f>IF(VLOOKUP(A490,DB_TBL_DATA_FIELDS[[FIELD_ID]:[ERROR_MESSAGE]],23,FALSE)&lt;&gt;0,VLOOKUP(A490,DB_TBL_DATA_FIELDS[[FIELD_ID]:[ERROR_MESSAGE]],23,FALSE),"")</f>
        <v/>
      </c>
      <c r="E490" s="281">
        <f>VLOOKUP(A490,DB_TBL_DATA_FIELDS[[#All],[FIELD_ID]:[RANGE_VALIDATION_MAX]],18,FALSE)</f>
        <v>0</v>
      </c>
      <c r="F490" s="281">
        <f>VLOOKUP(A490,DB_TBL_DATA_FIELDS[[#All],[FIELD_ID]:[RANGE_VALIDATION_MAX]],19,FALSE)</f>
        <v>1</v>
      </c>
      <c r="G490" s="281" t="str">
        <f t="shared" ca="1" si="64"/>
        <v/>
      </c>
      <c r="H490" s="215"/>
      <c r="I490" s="530" t="str">
        <f ca="1">B292</f>
        <v/>
      </c>
      <c r="J490" s="531"/>
      <c r="K490" s="531"/>
      <c r="L490" s="181">
        <f ca="1">G292</f>
        <v>1</v>
      </c>
      <c r="M490" s="204"/>
      <c r="N490" s="204"/>
      <c r="O490" s="475">
        <v>7</v>
      </c>
      <c r="P490" s="476"/>
      <c r="Q490" s="477"/>
      <c r="R490" s="478"/>
      <c r="S490" s="478"/>
      <c r="T490" s="180" t="str">
        <f t="shared" ca="1" si="61"/>
        <v/>
      </c>
      <c r="U490" s="479"/>
      <c r="V490" s="480"/>
      <c r="W490" s="481"/>
      <c r="X490" s="165" t="str">
        <f t="shared" ca="1" si="62"/>
        <v/>
      </c>
      <c r="Y490" s="194"/>
    </row>
    <row r="491" spans="1:25" ht="21.95" customHeight="1" x14ac:dyDescent="0.2">
      <c r="A491" s="273" t="s">
        <v>3139</v>
      </c>
      <c r="B491" s="288" t="str">
        <f>IF(I874&lt;&gt;"",I874,"")</f>
        <v/>
      </c>
      <c r="C491" s="281">
        <f ca="1">VLOOKUP(A491,DB_TBL_DATA_FIELDS[[FIELD_ID]:[PCT_CALC_FIELD_STATUS_CODE]],22,FALSE)</f>
        <v>-1</v>
      </c>
      <c r="D491" s="281" t="str">
        <f>IF(VLOOKUP(A491,DB_TBL_DATA_FIELDS[[FIELD_ID]:[ERROR_MESSAGE]],23,FALSE)&lt;&gt;0,VLOOKUP(A491,DB_TBL_DATA_FIELDS[[FIELD_ID]:[ERROR_MESSAGE]],23,FALSE),"")</f>
        <v/>
      </c>
      <c r="E491" s="281">
        <f>VLOOKUP(A491,DB_TBL_DATA_FIELDS[[#All],[FIELD_ID]:[RANGE_VALIDATION_MAX]],18,FALSE)</f>
        <v>0</v>
      </c>
      <c r="F491" s="281">
        <f>VLOOKUP(A491,DB_TBL_DATA_FIELDS[[#All],[FIELD_ID]:[RANGE_VALIDATION_MAX]],19,FALSE)</f>
        <v>1000</v>
      </c>
      <c r="G491" s="281" t="str">
        <f t="shared" ca="1" si="64"/>
        <v/>
      </c>
      <c r="H491" s="215"/>
      <c r="I491" s="540" t="str">
        <f ca="1">D292</f>
        <v/>
      </c>
      <c r="J491" s="541"/>
      <c r="K491" s="541"/>
      <c r="L491" s="542"/>
      <c r="M491" s="204"/>
      <c r="N491" s="204"/>
      <c r="O491" s="475">
        <v>8</v>
      </c>
      <c r="P491" s="476"/>
      <c r="Q491" s="477"/>
      <c r="R491" s="478"/>
      <c r="S491" s="478"/>
      <c r="T491" s="180" t="str">
        <f t="shared" ca="1" si="61"/>
        <v/>
      </c>
      <c r="U491" s="479"/>
      <c r="V491" s="480"/>
      <c r="W491" s="481"/>
      <c r="X491" s="165" t="str">
        <f t="shared" ca="1" si="62"/>
        <v/>
      </c>
      <c r="Y491" s="194"/>
    </row>
    <row r="492" spans="1:25" ht="21.95" customHeight="1" x14ac:dyDescent="0.2">
      <c r="A492" s="273" t="s">
        <v>3141</v>
      </c>
      <c r="B492" s="288" t="str">
        <f>IF(W878="","",IF(UPPER(W878)="YES",TRUE,FALSE))</f>
        <v/>
      </c>
      <c r="C492" s="281">
        <f ca="1">VLOOKUP(A492,DB_TBL_DATA_FIELDS[[FIELD_ID]:[PCT_CALC_FIELD_STATUS_CODE]],22,FALSE)</f>
        <v>-1</v>
      </c>
      <c r="D492" s="281" t="str">
        <f>IF(VLOOKUP(A492,DB_TBL_DATA_FIELDS[[FIELD_ID]:[ERROR_MESSAGE]],23,FALSE)&lt;&gt;0,VLOOKUP(A492,DB_TBL_DATA_FIELDS[[FIELD_ID]:[ERROR_MESSAGE]],23,FALSE),"")</f>
        <v/>
      </c>
      <c r="E492" s="281">
        <f>VLOOKUP(A492,DB_TBL_DATA_FIELDS[[#All],[FIELD_ID]:[RANGE_VALIDATION_MAX]],18,FALSE)</f>
        <v>0</v>
      </c>
      <c r="F492" s="281">
        <f>VLOOKUP(A492,DB_TBL_DATA_FIELDS[[#All],[FIELD_ID]:[RANGE_VALIDATION_MAX]],19,FALSE)</f>
        <v>1</v>
      </c>
      <c r="G492" s="281" t="str">
        <f t="shared" ca="1" si="64"/>
        <v/>
      </c>
      <c r="H492" s="215"/>
      <c r="I492" s="226" t="s">
        <v>3444</v>
      </c>
      <c r="J492" s="153"/>
      <c r="K492" s="215"/>
      <c r="L492" s="153"/>
      <c r="M492" s="204"/>
      <c r="N492" s="204"/>
      <c r="O492" s="475">
        <v>9</v>
      </c>
      <c r="P492" s="476"/>
      <c r="Q492" s="477"/>
      <c r="R492" s="478"/>
      <c r="S492" s="478"/>
      <c r="T492" s="180" t="str">
        <f t="shared" ca="1" si="61"/>
        <v/>
      </c>
      <c r="U492" s="479"/>
      <c r="V492" s="480"/>
      <c r="W492" s="481"/>
      <c r="X492" s="165" t="str">
        <f t="shared" ca="1" si="62"/>
        <v/>
      </c>
      <c r="Y492" s="194"/>
    </row>
    <row r="493" spans="1:25" ht="21.95" customHeight="1" x14ac:dyDescent="0.2">
      <c r="A493" s="273" t="s">
        <v>3143</v>
      </c>
      <c r="B493" s="288" t="str">
        <f>IF(I881&lt;&gt;"",I881,"")</f>
        <v/>
      </c>
      <c r="C493" s="281">
        <f ca="1">VLOOKUP(A493,DB_TBL_DATA_FIELDS[[FIELD_ID]:[PCT_CALC_FIELD_STATUS_CODE]],22,FALSE)</f>
        <v>-1</v>
      </c>
      <c r="D493" s="281" t="str">
        <f>IF(VLOOKUP(A493,DB_TBL_DATA_FIELDS[[FIELD_ID]:[ERROR_MESSAGE]],23,FALSE)&lt;&gt;0,VLOOKUP(A493,DB_TBL_DATA_FIELDS[[FIELD_ID]:[ERROR_MESSAGE]],23,FALSE),"")</f>
        <v/>
      </c>
      <c r="E493" s="281">
        <f>VLOOKUP(A493,DB_TBL_DATA_FIELDS[[#All],[FIELD_ID]:[RANGE_VALIDATION_MAX]],18,FALSE)</f>
        <v>0</v>
      </c>
      <c r="F493" s="281">
        <f>VLOOKUP(A493,DB_TBL_DATA_FIELDS[[#All],[FIELD_ID]:[RANGE_VALIDATION_MAX]],19,FALSE)</f>
        <v>1000</v>
      </c>
      <c r="G493" s="281" t="str">
        <f t="shared" ca="1" si="64"/>
        <v/>
      </c>
      <c r="H493" s="215"/>
      <c r="I493" s="482"/>
      <c r="J493" s="483"/>
      <c r="K493" s="484"/>
      <c r="L493" s="165">
        <f ca="1">G293</f>
        <v>1</v>
      </c>
      <c r="M493" s="204"/>
      <c r="N493" s="204"/>
      <c r="O493" s="475">
        <v>10</v>
      </c>
      <c r="P493" s="476"/>
      <c r="Q493" s="477"/>
      <c r="R493" s="478"/>
      <c r="S493" s="478"/>
      <c r="T493" s="180" t="str">
        <f t="shared" ca="1" si="61"/>
        <v/>
      </c>
      <c r="U493" s="479"/>
      <c r="V493" s="480"/>
      <c r="W493" s="481"/>
      <c r="X493" s="165" t="str">
        <f t="shared" ca="1" si="62"/>
        <v/>
      </c>
      <c r="Y493" s="194"/>
    </row>
    <row r="494" spans="1:25" ht="21.95" customHeight="1" x14ac:dyDescent="0.2">
      <c r="A494" s="273" t="s">
        <v>3145</v>
      </c>
      <c r="B494" s="288" t="str">
        <f>IF(I887&lt;&gt;"",I887,"")</f>
        <v/>
      </c>
      <c r="C494" s="281">
        <f ca="1">VLOOKUP(A494,DB_TBL_DATA_FIELDS[[FIELD_ID]:[PCT_CALC_FIELD_STATUS_CODE]],22,FALSE)</f>
        <v>1</v>
      </c>
      <c r="D494" s="281" t="str">
        <f ca="1">IF(VLOOKUP(A494,DB_TBL_DATA_FIELDS[[FIELD_ID]:[ERROR_MESSAGE]],23,FALSE)&lt;&gt;0,VLOOKUP(A494,DB_TBL_DATA_FIELDS[[FIELD_ID]:[ERROR_MESSAGE]],23,FALSE),"")</f>
        <v/>
      </c>
      <c r="E494" s="281">
        <f>VLOOKUP(A494,DB_TBL_DATA_FIELDS[[#All],[FIELD_ID]:[RANGE_VALIDATION_MAX]],18,FALSE)</f>
        <v>0</v>
      </c>
      <c r="F494" s="281">
        <f>VLOOKUP(A494,DB_TBL_DATA_FIELDS[[#All],[FIELD_ID]:[RANGE_VALIDATION_MAX]],19,FALSE)</f>
        <v>999999999999</v>
      </c>
      <c r="G494" s="281">
        <f t="shared" ca="1" si="64"/>
        <v>1</v>
      </c>
      <c r="H494" s="215"/>
      <c r="I494" s="537" t="str">
        <f ca="1">D293</f>
        <v/>
      </c>
      <c r="J494" s="538"/>
      <c r="K494" s="538"/>
      <c r="L494" s="153"/>
      <c r="M494" s="194"/>
      <c r="N494" s="153"/>
      <c r="O494" s="485">
        <v>11</v>
      </c>
      <c r="P494" s="486"/>
      <c r="Q494" s="487"/>
      <c r="R494" s="478"/>
      <c r="S494" s="478"/>
      <c r="T494" s="180" t="str">
        <f t="shared" ca="1" si="61"/>
        <v/>
      </c>
      <c r="U494" s="479"/>
      <c r="V494" s="480"/>
      <c r="W494" s="481"/>
      <c r="X494" s="165" t="str">
        <f t="shared" ca="1" si="62"/>
        <v/>
      </c>
      <c r="Y494" s="194"/>
    </row>
    <row r="495" spans="1:25" ht="21.95" customHeight="1" x14ac:dyDescent="0.2">
      <c r="A495" s="273" t="s">
        <v>3146</v>
      </c>
      <c r="B495" s="288" t="str">
        <f>IF(Q887&lt;&gt;"",Q887,"")</f>
        <v/>
      </c>
      <c r="C495" s="281">
        <f ca="1">VLOOKUP(A495,DB_TBL_DATA_FIELDS[[FIELD_ID]:[PCT_CALC_FIELD_STATUS_CODE]],22,FALSE)</f>
        <v>-1</v>
      </c>
      <c r="D495" s="281" t="str">
        <f>IF(VLOOKUP(A495,DB_TBL_DATA_FIELDS[[FIELD_ID]:[ERROR_MESSAGE]],23,FALSE)&lt;&gt;0,VLOOKUP(A495,DB_TBL_DATA_FIELDS[[FIELD_ID]:[ERROR_MESSAGE]],23,FALSE),"")</f>
        <v/>
      </c>
      <c r="E495" s="281">
        <f>VLOOKUP(A495,DB_TBL_DATA_FIELDS[[#All],[FIELD_ID]:[RANGE_VALIDATION_MAX]],18,FALSE)</f>
        <v>0</v>
      </c>
      <c r="F495" s="281">
        <f>VLOOKUP(A495,DB_TBL_DATA_FIELDS[[#All],[FIELD_ID]:[RANGE_VALIDATION_MAX]],19,FALSE)</f>
        <v>32767</v>
      </c>
      <c r="G495" s="281" t="str">
        <f t="shared" ca="1" si="64"/>
        <v/>
      </c>
      <c r="H495" s="215"/>
      <c r="I495" s="187"/>
      <c r="J495" s="153"/>
      <c r="K495" s="194"/>
      <c r="L495" s="153"/>
      <c r="M495" s="194"/>
      <c r="N495" s="153"/>
      <c r="O495" s="485">
        <v>12</v>
      </c>
      <c r="P495" s="486"/>
      <c r="Q495" s="487"/>
      <c r="R495" s="478"/>
      <c r="S495" s="478"/>
      <c r="T495" s="180" t="str">
        <f t="shared" ca="1" si="61"/>
        <v/>
      </c>
      <c r="U495" s="479"/>
      <c r="V495" s="480"/>
      <c r="W495" s="481"/>
      <c r="X495" s="165" t="str">
        <f t="shared" ca="1" si="62"/>
        <v/>
      </c>
      <c r="Y495" s="194"/>
    </row>
    <row r="496" spans="1:25" ht="21.95" customHeight="1" x14ac:dyDescent="0.2">
      <c r="A496" s="273" t="s">
        <v>3147</v>
      </c>
      <c r="B496" s="288" t="str">
        <f>IF(I891&lt;&gt;"",I891,"")</f>
        <v/>
      </c>
      <c r="C496" s="281">
        <f ca="1">VLOOKUP(A496,DB_TBL_DATA_FIELDS[[FIELD_ID]:[PCT_CALC_FIELD_STATUS_CODE]],22,FALSE)</f>
        <v>-1</v>
      </c>
      <c r="D496" s="281" t="str">
        <f>IF(VLOOKUP(A496,DB_TBL_DATA_FIELDS[[FIELD_ID]:[ERROR_MESSAGE]],23,FALSE)&lt;&gt;0,VLOOKUP(A496,DB_TBL_DATA_FIELDS[[FIELD_ID]:[ERROR_MESSAGE]],23,FALSE),"")</f>
        <v/>
      </c>
      <c r="E496" s="281">
        <f>VLOOKUP(A496,DB_TBL_DATA_FIELDS[[#All],[FIELD_ID]:[RANGE_VALIDATION_MAX]],18,FALSE)</f>
        <v>0</v>
      </c>
      <c r="F496" s="281">
        <f>VLOOKUP(A496,DB_TBL_DATA_FIELDS[[#All],[FIELD_ID]:[RANGE_VALIDATION_MAX]],19,FALSE)</f>
        <v>32767</v>
      </c>
      <c r="G496" s="281" t="str">
        <f t="shared" ca="1" si="64"/>
        <v/>
      </c>
      <c r="H496" s="215"/>
      <c r="I496" s="187"/>
      <c r="J496" s="153"/>
      <c r="K496" s="194"/>
      <c r="L496" s="153"/>
      <c r="M496" s="194"/>
      <c r="O496" s="443" t="s">
        <v>3929</v>
      </c>
      <c r="P496" s="194"/>
      <c r="Q496" s="194"/>
      <c r="R496" s="194"/>
      <c r="S496" s="194"/>
      <c r="T496" s="194"/>
      <c r="U496" s="194"/>
      <c r="V496" s="194"/>
      <c r="W496" s="194"/>
      <c r="X496" s="194"/>
      <c r="Y496" s="194"/>
    </row>
    <row r="497" spans="1:25" ht="21.95" customHeight="1" x14ac:dyDescent="0.2">
      <c r="A497" s="273" t="s">
        <v>3148</v>
      </c>
      <c r="B497" s="288" t="str">
        <f>IF(Q891&lt;&gt;"",Q891,"")</f>
        <v/>
      </c>
      <c r="C497" s="281">
        <f ca="1">VLOOKUP(A497,DB_TBL_DATA_FIELDS[[FIELD_ID]:[PCT_CALC_FIELD_STATUS_CODE]],22,FALSE)</f>
        <v>-1</v>
      </c>
      <c r="D497" s="281" t="str">
        <f>IF(VLOOKUP(A497,DB_TBL_DATA_FIELDS[[FIELD_ID]:[ERROR_MESSAGE]],23,FALSE)&lt;&gt;0,VLOOKUP(A497,DB_TBL_DATA_FIELDS[[FIELD_ID]:[ERROR_MESSAGE]],23,FALSE),"")</f>
        <v/>
      </c>
      <c r="E497" s="281">
        <f>VLOOKUP(A497,DB_TBL_DATA_FIELDS[[#All],[FIELD_ID]:[RANGE_VALIDATION_MAX]],18,FALSE)</f>
        <v>0</v>
      </c>
      <c r="F497" s="281">
        <f>VLOOKUP(A497,DB_TBL_DATA_FIELDS[[#All],[FIELD_ID]:[RANGE_VALIDATION_MAX]],19,FALSE)</f>
        <v>32767</v>
      </c>
      <c r="G497" s="281" t="str">
        <f t="shared" ca="1" si="64"/>
        <v/>
      </c>
      <c r="H497" s="215"/>
      <c r="I497" s="194"/>
      <c r="J497" s="153"/>
      <c r="K497" s="194"/>
      <c r="L497" s="153"/>
      <c r="M497" s="194"/>
      <c r="N497" s="539" t="str">
        <f ca="1">D291</f>
        <v/>
      </c>
      <c r="O497" s="539"/>
      <c r="P497" s="539"/>
      <c r="Q497" s="539"/>
      <c r="R497" s="539"/>
      <c r="S497" s="539"/>
      <c r="T497" s="539"/>
      <c r="U497" s="539"/>
      <c r="V497" s="539"/>
      <c r="W497" s="539"/>
      <c r="X497" s="153"/>
      <c r="Y497" s="194"/>
    </row>
    <row r="498" spans="1:25" ht="21.95" customHeight="1" x14ac:dyDescent="0.2">
      <c r="A498" s="273" t="s">
        <v>3149</v>
      </c>
      <c r="B498" s="288" t="str">
        <f>IF(I893&lt;&gt;"",I893,"")</f>
        <v/>
      </c>
      <c r="C498" s="281">
        <f ca="1">VLOOKUP(A498,DB_TBL_DATA_FIELDS[[FIELD_ID]:[PCT_CALC_FIELD_STATUS_CODE]],22,FALSE)</f>
        <v>-1</v>
      </c>
      <c r="D498" s="281" t="str">
        <f>IF(VLOOKUP(A498,DB_TBL_DATA_FIELDS[[FIELD_ID]:[ERROR_MESSAGE]],23,FALSE)&lt;&gt;0,VLOOKUP(A498,DB_TBL_DATA_FIELDS[[FIELD_ID]:[ERROR_MESSAGE]],23,FALSE),"")</f>
        <v/>
      </c>
      <c r="E498" s="281">
        <f>VLOOKUP(A498,DB_TBL_DATA_FIELDS[[#All],[FIELD_ID]:[RANGE_VALIDATION_MAX]],18,FALSE)</f>
        <v>0</v>
      </c>
      <c r="F498" s="281">
        <f>VLOOKUP(A498,DB_TBL_DATA_FIELDS[[#All],[FIELD_ID]:[RANGE_VALIDATION_MAX]],19,FALSE)</f>
        <v>32767</v>
      </c>
      <c r="G498" s="281" t="str">
        <f t="shared" ca="1" si="64"/>
        <v/>
      </c>
      <c r="H498" s="215"/>
      <c r="I498" s="194"/>
      <c r="J498" s="153"/>
      <c r="K498" s="194"/>
      <c r="L498" s="153"/>
      <c r="M498" s="194"/>
      <c r="N498" s="539"/>
      <c r="O498" s="539"/>
      <c r="P498" s="539"/>
      <c r="Q498" s="539"/>
      <c r="R498" s="539"/>
      <c r="S498" s="539"/>
      <c r="T498" s="539"/>
      <c r="U498" s="539"/>
      <c r="V498" s="539"/>
      <c r="W498" s="539"/>
      <c r="X498" s="153"/>
      <c r="Y498" s="194"/>
    </row>
    <row r="499" spans="1:25" ht="21.95" customHeight="1" x14ac:dyDescent="0.2">
      <c r="A499" s="273" t="s">
        <v>3150</v>
      </c>
      <c r="B499" s="288" t="str">
        <f>IF(Q893&lt;&gt;"",Q893,"")</f>
        <v/>
      </c>
      <c r="C499" s="281">
        <f ca="1">VLOOKUP(A499,DB_TBL_DATA_FIELDS[[FIELD_ID]:[PCT_CALC_FIELD_STATUS_CODE]],22,FALSE)</f>
        <v>-1</v>
      </c>
      <c r="D499" s="281" t="str">
        <f>IF(VLOOKUP(A499,DB_TBL_DATA_FIELDS[[FIELD_ID]:[ERROR_MESSAGE]],23,FALSE)&lt;&gt;0,VLOOKUP(A499,DB_TBL_DATA_FIELDS[[FIELD_ID]:[ERROR_MESSAGE]],23,FALSE),"")</f>
        <v/>
      </c>
      <c r="E499" s="281">
        <f>VLOOKUP(A499,DB_TBL_DATA_FIELDS[[#All],[FIELD_ID]:[RANGE_VALIDATION_MAX]],18,FALSE)</f>
        <v>0</v>
      </c>
      <c r="F499" s="281">
        <f>VLOOKUP(A499,DB_TBL_DATA_FIELDS[[#All],[FIELD_ID]:[RANGE_VALIDATION_MAX]],19,FALSE)</f>
        <v>999999999999</v>
      </c>
      <c r="G499" s="281" t="str">
        <f t="shared" ca="1" si="64"/>
        <v/>
      </c>
      <c r="H499" s="215"/>
      <c r="I499" s="194"/>
      <c r="J499" s="153"/>
      <c r="K499" s="194"/>
      <c r="L499" s="153"/>
      <c r="M499" s="194"/>
      <c r="N499" s="153"/>
      <c r="O499" s="194"/>
      <c r="P499" s="153"/>
      <c r="Q499" s="194"/>
      <c r="R499" s="153"/>
      <c r="S499" s="194"/>
      <c r="T499" s="153"/>
      <c r="U499" s="194"/>
      <c r="V499" s="153"/>
      <c r="W499" s="194"/>
      <c r="X499" s="153"/>
      <c r="Y499" s="194"/>
    </row>
    <row r="500" spans="1:25" ht="21.95" customHeight="1" thickBot="1" x14ac:dyDescent="0.25">
      <c r="A500" s="273" t="s">
        <v>3151</v>
      </c>
      <c r="B500" s="288" t="str">
        <f>IF(W895="","",IF(UPPER(W895)="YES",TRUE,FALSE))</f>
        <v/>
      </c>
      <c r="C500" s="281">
        <f ca="1">VLOOKUP(A500,DB_TBL_DATA_FIELDS[[FIELD_ID]:[PCT_CALC_FIELD_STATUS_CODE]],22,FALSE)</f>
        <v>-1</v>
      </c>
      <c r="D500" s="281" t="str">
        <f>IF(VLOOKUP(A500,DB_TBL_DATA_FIELDS[[FIELD_ID]:[ERROR_MESSAGE]],23,FALSE)&lt;&gt;0,VLOOKUP(A500,DB_TBL_DATA_FIELDS[[FIELD_ID]:[ERROR_MESSAGE]],23,FALSE),"")</f>
        <v/>
      </c>
      <c r="E500" s="281">
        <f>VLOOKUP(A500,DB_TBL_DATA_FIELDS[[#All],[FIELD_ID]:[RANGE_VALIDATION_MAX]],18,FALSE)</f>
        <v>0</v>
      </c>
      <c r="F500" s="281">
        <f>VLOOKUP(A500,DB_TBL_DATA_FIELDS[[#All],[FIELD_ID]:[RANGE_VALIDATION_MAX]],19,FALSE)</f>
        <v>1</v>
      </c>
      <c r="G500" s="281" t="str">
        <f t="shared" ca="1" si="64"/>
        <v/>
      </c>
      <c r="H500" s="215"/>
      <c r="I500" s="424" t="str">
        <f>B309</f>
        <v>Use of Donated or Conveyed Government-owned or Other Properties (Maximum Points: 5)</v>
      </c>
      <c r="J500" s="269"/>
      <c r="K500" s="269"/>
      <c r="L500" s="269"/>
      <c r="M500" s="269"/>
      <c r="N500" s="269"/>
      <c r="O500" s="269"/>
      <c r="P500" s="269"/>
      <c r="Q500" s="269"/>
      <c r="R500" s="269"/>
      <c r="S500" s="269"/>
      <c r="T500" s="269"/>
      <c r="U500" s="269"/>
      <c r="V500" s="269"/>
      <c r="W500" s="269"/>
      <c r="X500" s="167" t="str">
        <f ca="1">"Status: "&amp;$B$339</f>
        <v>Status: Not Started</v>
      </c>
      <c r="Y500" s="194"/>
    </row>
    <row r="501" spans="1:25" ht="21.95" customHeight="1" x14ac:dyDescent="0.2">
      <c r="A501" s="273" t="s">
        <v>3152</v>
      </c>
      <c r="B501" s="288" t="str">
        <f>IF(I899&lt;&gt;"",I899,"")</f>
        <v/>
      </c>
      <c r="C501" s="281">
        <f ca="1">VLOOKUP(A501,DB_TBL_DATA_FIELDS[[FIELD_ID]:[PCT_CALC_FIELD_STATUS_CODE]],22,FALSE)</f>
        <v>-1</v>
      </c>
      <c r="D501" s="281" t="str">
        <f>IF(VLOOKUP(A501,DB_TBL_DATA_FIELDS[[FIELD_ID]:[ERROR_MESSAGE]],23,FALSE)&lt;&gt;0,VLOOKUP(A501,DB_TBL_DATA_FIELDS[[FIELD_ID]:[ERROR_MESSAGE]],23,FALSE),"")</f>
        <v/>
      </c>
      <c r="E501" s="281">
        <f>VLOOKUP(A501,DB_TBL_DATA_FIELDS[[#All],[FIELD_ID]:[RANGE_VALIDATION_MAX]],18,FALSE)</f>
        <v>0</v>
      </c>
      <c r="F501" s="281">
        <f>VLOOKUP(A501,DB_TBL_DATA_FIELDS[[#All],[FIELD_ID]:[RANGE_VALIDATION_MAX]],19,FALSE)</f>
        <v>1000</v>
      </c>
      <c r="G501" s="281" t="str">
        <f t="shared" ca="1" si="64"/>
        <v/>
      </c>
      <c r="H501" s="215"/>
      <c r="I501" s="194"/>
      <c r="J501" s="153"/>
      <c r="K501" s="194"/>
      <c r="L501" s="153"/>
      <c r="M501" s="194"/>
      <c r="N501" s="153"/>
      <c r="O501" s="194"/>
      <c r="P501" s="153"/>
      <c r="Q501" s="194"/>
      <c r="R501" s="153"/>
      <c r="S501" s="194"/>
      <c r="T501" s="153"/>
      <c r="U501" s="194"/>
      <c r="V501" s="153"/>
      <c r="W501" s="194"/>
      <c r="X501" s="153"/>
      <c r="Y501" s="194"/>
    </row>
    <row r="502" spans="1:25" ht="21.95" customHeight="1" x14ac:dyDescent="0.2">
      <c r="A502" s="273" t="s">
        <v>3153</v>
      </c>
      <c r="B502" s="288" t="str">
        <f>IF(W903="","",IF(UPPER(W903)="YES",TRUE,FALSE))</f>
        <v/>
      </c>
      <c r="C502" s="281">
        <f ca="1">VLOOKUP(A502,DB_TBL_DATA_FIELDS[[FIELD_ID]:[PCT_CALC_FIELD_STATUS_CODE]],22,FALSE)</f>
        <v>-1</v>
      </c>
      <c r="D502" s="281" t="str">
        <f>IF(VLOOKUP(A502,DB_TBL_DATA_FIELDS[[FIELD_ID]:[ERROR_MESSAGE]],23,FALSE)&lt;&gt;0,VLOOKUP(A502,DB_TBL_DATA_FIELDS[[FIELD_ID]:[ERROR_MESSAGE]],23,FALSE),"")</f>
        <v/>
      </c>
      <c r="E502" s="281">
        <f>VLOOKUP(A502,DB_TBL_DATA_FIELDS[[#All],[FIELD_ID]:[RANGE_VALIDATION_MAX]],18,FALSE)</f>
        <v>0</v>
      </c>
      <c r="F502" s="281">
        <f>VLOOKUP(A502,DB_TBL_DATA_FIELDS[[#All],[FIELD_ID]:[RANGE_VALIDATION_MAX]],19,FALSE)</f>
        <v>1</v>
      </c>
      <c r="G502" s="281" t="str">
        <f t="shared" ca="1" si="64"/>
        <v/>
      </c>
      <c r="H502" s="215"/>
      <c r="I502" s="709" t="s">
        <v>2842</v>
      </c>
      <c r="J502" s="709"/>
      <c r="K502" s="709"/>
      <c r="L502" s="709"/>
      <c r="M502" s="709"/>
      <c r="N502" s="709"/>
      <c r="O502" s="709"/>
      <c r="P502" s="709"/>
      <c r="Q502" s="709"/>
      <c r="R502" s="709"/>
      <c r="S502" s="709"/>
      <c r="T502" s="709"/>
      <c r="U502" s="709"/>
      <c r="V502" s="709"/>
      <c r="W502" s="709"/>
      <c r="X502" s="153"/>
      <c r="Y502" s="194"/>
    </row>
    <row r="503" spans="1:25" ht="21.95" customHeight="1" x14ac:dyDescent="0.2">
      <c r="A503" s="273" t="s">
        <v>3154</v>
      </c>
      <c r="B503" s="288" t="str">
        <f>IF(I906&lt;&gt;"",I906,"")</f>
        <v/>
      </c>
      <c r="C503" s="281">
        <f ca="1">VLOOKUP(A503,DB_TBL_DATA_FIELDS[[FIELD_ID]:[PCT_CALC_FIELD_STATUS_CODE]],22,FALSE)</f>
        <v>-1</v>
      </c>
      <c r="D503" s="281" t="str">
        <f>IF(VLOOKUP(A503,DB_TBL_DATA_FIELDS[[FIELD_ID]:[ERROR_MESSAGE]],23,FALSE)&lt;&gt;0,VLOOKUP(A503,DB_TBL_DATA_FIELDS[[FIELD_ID]:[ERROR_MESSAGE]],23,FALSE),"")</f>
        <v/>
      </c>
      <c r="E503" s="281">
        <f>VLOOKUP(A503,DB_TBL_DATA_FIELDS[[#All],[FIELD_ID]:[RANGE_VALIDATION_MAX]],18,FALSE)</f>
        <v>0</v>
      </c>
      <c r="F503" s="281">
        <f>VLOOKUP(A503,DB_TBL_DATA_FIELDS[[#All],[FIELD_ID]:[RANGE_VALIDATION_MAX]],19,FALSE)</f>
        <v>1000</v>
      </c>
      <c r="G503" s="281" t="str">
        <f t="shared" ca="1" si="64"/>
        <v/>
      </c>
      <c r="H503" s="215"/>
      <c r="I503" s="709"/>
      <c r="J503" s="709"/>
      <c r="K503" s="709"/>
      <c r="L503" s="709"/>
      <c r="M503" s="709"/>
      <c r="N503" s="709"/>
      <c r="O503" s="709"/>
      <c r="P503" s="709"/>
      <c r="Q503" s="709"/>
      <c r="R503" s="709"/>
      <c r="S503" s="709"/>
      <c r="T503" s="709"/>
      <c r="U503" s="709"/>
      <c r="V503" s="709"/>
      <c r="W503" s="709"/>
      <c r="X503" s="153"/>
      <c r="Y503" s="194"/>
    </row>
    <row r="504" spans="1:25" ht="21.95" customHeight="1" x14ac:dyDescent="0.2">
      <c r="A504" s="336" t="s">
        <v>3165</v>
      </c>
      <c r="B504" s="298" t="str">
        <f>""</f>
        <v/>
      </c>
      <c r="C504" s="299">
        <f ca="1">VLOOKUP(A504,DB_TBL_DATA_FIELDS[[FIELD_ID]:[PCT_CALC_FIELD_STATUS_CODE]],22,FALSE)</f>
        <v>-1</v>
      </c>
      <c r="D504" s="299" t="str">
        <f>IF(VLOOKUP(A504,DB_TBL_DATA_FIELDS[[FIELD_ID]:[ERROR_MESSAGE]],23,FALSE)&lt;&gt;0,VLOOKUP(A504,DB_TBL_DATA_FIELDS[[FIELD_ID]:[ERROR_MESSAGE]],23,FALSE),"")</f>
        <v/>
      </c>
      <c r="E504" s="299">
        <f>VLOOKUP(A504,DB_TBL_DATA_FIELDS[[#All],[FIELD_ID]:[RANGE_VALIDATION_MAX]],18,FALSE)</f>
        <v>0</v>
      </c>
      <c r="F504" s="299">
        <f>VLOOKUP(A504,DB_TBL_DATA_FIELDS[[#All],[FIELD_ID]:[RANGE_VALIDATION_MAX]],19,FALSE)</f>
        <v>999999999999</v>
      </c>
      <c r="G504" s="299" t="str">
        <f t="shared" ca="1" si="64"/>
        <v/>
      </c>
      <c r="H504" s="215"/>
      <c r="I504" s="709"/>
      <c r="J504" s="709"/>
      <c r="K504" s="709"/>
      <c r="L504" s="709"/>
      <c r="M504" s="709"/>
      <c r="N504" s="709"/>
      <c r="O504" s="709"/>
      <c r="P504" s="709"/>
      <c r="Q504" s="709"/>
      <c r="R504" s="709"/>
      <c r="S504" s="709"/>
      <c r="T504" s="709"/>
      <c r="U504" s="709"/>
      <c r="V504" s="709"/>
      <c r="W504" s="709"/>
      <c r="X504" s="153"/>
      <c r="Y504" s="194"/>
    </row>
    <row r="505" spans="1:25" ht="21.95" customHeight="1" x14ac:dyDescent="0.2">
      <c r="A505" s="336" t="s">
        <v>3168</v>
      </c>
      <c r="B505" s="298" t="str">
        <f>""</f>
        <v/>
      </c>
      <c r="C505" s="299">
        <f ca="1">VLOOKUP(A505,DB_TBL_DATA_FIELDS[[FIELD_ID]:[PCT_CALC_FIELD_STATUS_CODE]],22,FALSE)</f>
        <v>-1</v>
      </c>
      <c r="D505" s="299" t="str">
        <f>IF(VLOOKUP(A505,DB_TBL_DATA_FIELDS[[FIELD_ID]:[ERROR_MESSAGE]],23,FALSE)&lt;&gt;0,VLOOKUP(A505,DB_TBL_DATA_FIELDS[[FIELD_ID]:[ERROR_MESSAGE]],23,FALSE),"")</f>
        <v/>
      </c>
      <c r="E505" s="299">
        <f>VLOOKUP(A505,DB_TBL_DATA_FIELDS[[#All],[FIELD_ID]:[RANGE_VALIDATION_MAX]],18,FALSE)</f>
        <v>0</v>
      </c>
      <c r="F505" s="299">
        <f>VLOOKUP(A505,DB_TBL_DATA_FIELDS[[#All],[FIELD_ID]:[RANGE_VALIDATION_MAX]],19,FALSE)</f>
        <v>999999999999</v>
      </c>
      <c r="G505" s="299" t="str">
        <f t="shared" ca="1" si="64"/>
        <v/>
      </c>
      <c r="H505" s="215"/>
      <c r="I505" s="709"/>
      <c r="J505" s="709"/>
      <c r="K505" s="709"/>
      <c r="L505" s="709"/>
      <c r="M505" s="709"/>
      <c r="N505" s="709"/>
      <c r="O505" s="709"/>
      <c r="P505" s="709"/>
      <c r="Q505" s="709"/>
      <c r="R505" s="709"/>
      <c r="S505" s="709"/>
      <c r="T505" s="709"/>
      <c r="U505" s="709"/>
      <c r="V505" s="709"/>
      <c r="W505" s="709"/>
      <c r="X505" s="153"/>
      <c r="Y505" s="194"/>
    </row>
    <row r="506" spans="1:25" ht="21.95" customHeight="1" x14ac:dyDescent="0.2">
      <c r="A506" s="273" t="s">
        <v>3169</v>
      </c>
      <c r="B506" s="288" t="str">
        <f>IF(W912&lt;&gt;"",W912,"")</f>
        <v/>
      </c>
      <c r="C506" s="281">
        <f ca="1">VLOOKUP(A506,DB_TBL_DATA_FIELDS[[FIELD_ID]:[PCT_CALC_FIELD_STATUS_CODE]],22,FALSE)</f>
        <v>-1</v>
      </c>
      <c r="D506" s="281" t="str">
        <f ca="1">IF(VLOOKUP(A506,DB_TBL_DATA_FIELDS[[FIELD_ID]:[ERROR_MESSAGE]],23,FALSE)&lt;&gt;0,VLOOKUP(A506,DB_TBL_DATA_FIELDS[[FIELD_ID]:[ERROR_MESSAGE]],23,FALSE),"")</f>
        <v/>
      </c>
      <c r="E506" s="281">
        <f>VLOOKUP(A506,DB_TBL_DATA_FIELDS[[#All],[FIELD_ID]:[RANGE_VALIDATION_MAX]],18,FALSE)</f>
        <v>0</v>
      </c>
      <c r="F506" s="281">
        <f>VLOOKUP(A506,DB_TBL_DATA_FIELDS[[#All],[FIELD_ID]:[RANGE_VALIDATION_MAX]],19,FALSE)</f>
        <v>999999999999</v>
      </c>
      <c r="G506" s="281" t="str">
        <f t="shared" ca="1" si="64"/>
        <v/>
      </c>
      <c r="H506" s="215"/>
      <c r="I506" s="709"/>
      <c r="J506" s="709"/>
      <c r="K506" s="709"/>
      <c r="L506" s="709"/>
      <c r="M506" s="709"/>
      <c r="N506" s="709"/>
      <c r="O506" s="709"/>
      <c r="P506" s="709"/>
      <c r="Q506" s="709"/>
      <c r="R506" s="709"/>
      <c r="S506" s="709"/>
      <c r="T506" s="709"/>
      <c r="U506" s="709"/>
      <c r="V506" s="709"/>
      <c r="W506" s="709"/>
      <c r="X506" s="153"/>
      <c r="Y506" s="194"/>
    </row>
    <row r="507" spans="1:25" ht="21.95" customHeight="1" x14ac:dyDescent="0.2">
      <c r="A507" s="273" t="s">
        <v>3172</v>
      </c>
      <c r="B507" s="288" t="str">
        <f>IF(U914&lt;&gt;"",U914,"")</f>
        <v/>
      </c>
      <c r="C507" s="281">
        <f ca="1">VLOOKUP(A507,DB_TBL_DATA_FIELDS[[FIELD_ID]:[PCT_CALC_FIELD_STATUS_CODE]],22,FALSE)</f>
        <v>-1</v>
      </c>
      <c r="D507" s="281" t="str">
        <f>IF(VLOOKUP(A507,DB_TBL_DATA_FIELDS[[FIELD_ID]:[ERROR_MESSAGE]],23,FALSE)&lt;&gt;0,VLOOKUP(A507,DB_TBL_DATA_FIELDS[[FIELD_ID]:[ERROR_MESSAGE]],23,FALSE),"")</f>
        <v/>
      </c>
      <c r="E507" s="281">
        <f>VLOOKUP(A507,DB_TBL_DATA_FIELDS[[#All],[FIELD_ID]:[RANGE_VALIDATION_MAX]],18,FALSE)</f>
        <v>0</v>
      </c>
      <c r="F507" s="281">
        <f>VLOOKUP(A507,DB_TBL_DATA_FIELDS[[#All],[FIELD_ID]:[RANGE_VALIDATION_MAX]],19,FALSE)</f>
        <v>32767</v>
      </c>
      <c r="G507" s="281" t="str">
        <f t="shared" ca="1" si="64"/>
        <v/>
      </c>
      <c r="H507" s="215"/>
      <c r="I507" s="469" t="s">
        <v>3675</v>
      </c>
      <c r="J507" s="469"/>
      <c r="K507" s="469"/>
      <c r="L507" s="469"/>
      <c r="M507" s="469"/>
      <c r="N507" s="469"/>
      <c r="O507" s="469"/>
      <c r="P507" s="469"/>
      <c r="Q507" s="469"/>
      <c r="R507" s="469"/>
      <c r="S507" s="469"/>
      <c r="T507" s="469"/>
      <c r="U507" s="469"/>
      <c r="V507" s="469"/>
      <c r="W507" s="469"/>
      <c r="X507" s="153"/>
      <c r="Y507" s="194"/>
    </row>
    <row r="508" spans="1:25" ht="21.95" customHeight="1" x14ac:dyDescent="0.2">
      <c r="A508" s="273" t="s">
        <v>3170</v>
      </c>
      <c r="B508" s="288" t="str">
        <f>IF(W917&lt;&gt;"",W917,"")</f>
        <v/>
      </c>
      <c r="C508" s="281">
        <f ca="1">VLOOKUP(A508,DB_TBL_DATA_FIELDS[[FIELD_ID]:[PCT_CALC_FIELD_STATUS_CODE]],22,FALSE)</f>
        <v>-1</v>
      </c>
      <c r="D508" s="281" t="str">
        <f ca="1">IF(VLOOKUP(A508,DB_TBL_DATA_FIELDS[[FIELD_ID]:[ERROR_MESSAGE]],23,FALSE)&lt;&gt;0,VLOOKUP(A508,DB_TBL_DATA_FIELDS[[FIELD_ID]:[ERROR_MESSAGE]],23,FALSE),"")</f>
        <v/>
      </c>
      <c r="E508" s="281">
        <f>VLOOKUP(A508,DB_TBL_DATA_FIELDS[[#All],[FIELD_ID]:[RANGE_VALIDATION_MAX]],18,FALSE)</f>
        <v>0</v>
      </c>
      <c r="F508" s="281">
        <f>VLOOKUP(A508,DB_TBL_DATA_FIELDS[[#All],[FIELD_ID]:[RANGE_VALIDATION_MAX]],19,FALSE)</f>
        <v>999999999999</v>
      </c>
      <c r="G508" s="281" t="str">
        <f t="shared" ca="1" si="64"/>
        <v/>
      </c>
      <c r="H508" s="215"/>
      <c r="I508" s="469"/>
      <c r="J508" s="469"/>
      <c r="K508" s="469"/>
      <c r="L508" s="469"/>
      <c r="M508" s="469"/>
      <c r="N508" s="469"/>
      <c r="O508" s="469"/>
      <c r="P508" s="469"/>
      <c r="Q508" s="469"/>
      <c r="R508" s="469"/>
      <c r="S508" s="469"/>
      <c r="T508" s="469"/>
      <c r="U508" s="469"/>
      <c r="V508" s="469"/>
      <c r="W508" s="469"/>
      <c r="X508" s="153"/>
      <c r="Y508" s="194"/>
    </row>
    <row r="509" spans="1:25" ht="21.95" customHeight="1" x14ac:dyDescent="0.2">
      <c r="A509" s="273" t="s">
        <v>3171</v>
      </c>
      <c r="B509" s="288" t="str">
        <f>IF(U919&lt;&gt;"",U919,"")</f>
        <v/>
      </c>
      <c r="C509" s="281">
        <f ca="1">VLOOKUP(A509,DB_TBL_DATA_FIELDS[[FIELD_ID]:[PCT_CALC_FIELD_STATUS_CODE]],22,FALSE)</f>
        <v>-1</v>
      </c>
      <c r="D509" s="281" t="str">
        <f>IF(VLOOKUP(A509,DB_TBL_DATA_FIELDS[[FIELD_ID]:[ERROR_MESSAGE]],23,FALSE)&lt;&gt;0,VLOOKUP(A509,DB_TBL_DATA_FIELDS[[FIELD_ID]:[ERROR_MESSAGE]],23,FALSE),"")</f>
        <v/>
      </c>
      <c r="E509" s="281">
        <f>VLOOKUP(A509,DB_TBL_DATA_FIELDS[[#All],[FIELD_ID]:[RANGE_VALIDATION_MAX]],18,FALSE)</f>
        <v>0</v>
      </c>
      <c r="F509" s="281">
        <f>VLOOKUP(A509,DB_TBL_DATA_FIELDS[[#All],[FIELD_ID]:[RANGE_VALIDATION_MAX]],19,FALSE)</f>
        <v>32767</v>
      </c>
      <c r="G509" s="281" t="str">
        <f t="shared" ca="1" si="64"/>
        <v/>
      </c>
      <c r="H509" s="215"/>
      <c r="I509" s="469"/>
      <c r="J509" s="469"/>
      <c r="K509" s="469"/>
      <c r="L509" s="469"/>
      <c r="M509" s="469"/>
      <c r="N509" s="469"/>
      <c r="O509" s="469"/>
      <c r="P509" s="469"/>
      <c r="Q509" s="469"/>
      <c r="R509" s="469"/>
      <c r="S509" s="469"/>
      <c r="T509" s="469"/>
      <c r="U509" s="469"/>
      <c r="V509" s="469"/>
      <c r="W509" s="469"/>
      <c r="X509" s="153"/>
      <c r="Y509" s="194"/>
    </row>
    <row r="510" spans="1:25" ht="21.95" customHeight="1" x14ac:dyDescent="0.2">
      <c r="A510" s="290" t="s">
        <v>3316</v>
      </c>
      <c r="B510" s="282" t="str">
        <f>"C"&amp;MATCH(LEFT(A510,LEN(A510)-LEN("_RANGE")),A:A,0)+1&amp;":C"&amp;(ROW()-1)</f>
        <v>C484:C509</v>
      </c>
      <c r="C510" s="281"/>
      <c r="D510" s="281"/>
      <c r="E510" s="281"/>
      <c r="F510" s="281"/>
      <c r="G510" s="281"/>
      <c r="H510" s="215"/>
      <c r="I510" s="469" t="s">
        <v>3676</v>
      </c>
      <c r="J510" s="469"/>
      <c r="K510" s="469"/>
      <c r="L510" s="469"/>
      <c r="M510" s="469"/>
      <c r="N510" s="469"/>
      <c r="O510" s="469"/>
      <c r="P510" s="469"/>
      <c r="Q510" s="469"/>
      <c r="R510" s="469"/>
      <c r="S510" s="469"/>
      <c r="T510" s="469"/>
      <c r="U510" s="469"/>
      <c r="V510" s="469"/>
      <c r="W510" s="469"/>
      <c r="X510" s="153"/>
      <c r="Y510" s="194"/>
    </row>
    <row r="511" spans="1:25" ht="21.95" customHeight="1" x14ac:dyDescent="0.2">
      <c r="A511" s="290" t="s">
        <v>3317</v>
      </c>
      <c r="B511" s="282">
        <f ca="1">COUNTIF(INDIRECT($B510),2)</f>
        <v>0</v>
      </c>
      <c r="C511" s="281"/>
      <c r="D511" s="281"/>
      <c r="E511" s="281"/>
      <c r="F511" s="281"/>
      <c r="G511" s="281"/>
      <c r="H511" s="215"/>
      <c r="I511" s="469"/>
      <c r="J511" s="469"/>
      <c r="K511" s="469"/>
      <c r="L511" s="469"/>
      <c r="M511" s="469"/>
      <c r="N511" s="469"/>
      <c r="O511" s="469"/>
      <c r="P511" s="469"/>
      <c r="Q511" s="469"/>
      <c r="R511" s="469"/>
      <c r="S511" s="469"/>
      <c r="T511" s="469"/>
      <c r="U511" s="469"/>
      <c r="V511" s="469"/>
      <c r="W511" s="469"/>
      <c r="X511" s="153"/>
      <c r="Y511" s="194"/>
    </row>
    <row r="512" spans="1:25" ht="21.95" customHeight="1" x14ac:dyDescent="0.2">
      <c r="A512" s="290" t="s">
        <v>3318</v>
      </c>
      <c r="B512" s="282">
        <f ca="1">COUNTIF(INDIRECT($B510),0)+COUNTIF(INDIRECT($B510),1)+COUNTIF(INDIRECT($B510),2)</f>
        <v>2</v>
      </c>
      <c r="C512" s="281"/>
      <c r="D512" s="281"/>
      <c r="E512" s="281"/>
      <c r="F512" s="281"/>
      <c r="G512" s="281"/>
      <c r="H512" s="215"/>
      <c r="I512" s="469"/>
      <c r="J512" s="469"/>
      <c r="K512" s="469"/>
      <c r="L512" s="469"/>
      <c r="M512" s="469"/>
      <c r="N512" s="469"/>
      <c r="O512" s="469"/>
      <c r="P512" s="469"/>
      <c r="Q512" s="469"/>
      <c r="R512" s="469"/>
      <c r="S512" s="469"/>
      <c r="T512" s="469"/>
      <c r="U512" s="469"/>
      <c r="V512" s="469"/>
      <c r="W512" s="469"/>
      <c r="X512" s="153"/>
      <c r="Y512" s="194"/>
    </row>
    <row r="513" spans="1:25" ht="21.95" customHeight="1" thickBot="1" x14ac:dyDescent="0.25">
      <c r="A513" s="290" t="s">
        <v>3319</v>
      </c>
      <c r="B513" s="282">
        <f ca="1">COUNTIF(INDIRECT($B510),0)</f>
        <v>0</v>
      </c>
      <c r="C513" s="281" t="s">
        <v>2607</v>
      </c>
      <c r="D513" s="281"/>
      <c r="E513" s="281"/>
      <c r="F513" s="281"/>
      <c r="G513" s="281"/>
      <c r="H513" s="215"/>
      <c r="I513" s="216" t="s">
        <v>2843</v>
      </c>
      <c r="J513" s="242"/>
      <c r="K513" s="242"/>
      <c r="L513" s="242"/>
      <c r="M513" s="242"/>
      <c r="N513" s="242"/>
      <c r="O513" s="242"/>
      <c r="P513" s="242"/>
      <c r="Q513" s="242"/>
      <c r="R513" s="242"/>
      <c r="S513" s="242"/>
      <c r="T513" s="242"/>
      <c r="U513" s="242"/>
      <c r="V513" s="242"/>
      <c r="W513" s="242"/>
      <c r="X513" s="153"/>
      <c r="Y513" s="194"/>
    </row>
    <row r="514" spans="1:25" ht="21.95" customHeight="1" thickTop="1" x14ac:dyDescent="0.2">
      <c r="A514" s="290" t="s">
        <v>3320</v>
      </c>
      <c r="B514" s="291">
        <f ca="1">IFERROR(B511/B512,1.01)</f>
        <v>0</v>
      </c>
      <c r="C514" s="281"/>
      <c r="D514" s="281"/>
      <c r="E514" s="281"/>
      <c r="F514" s="281"/>
      <c r="G514" s="281"/>
      <c r="H514" s="215"/>
      <c r="I514" s="535" t="str">
        <f ca="1">D310</f>
        <v/>
      </c>
      <c r="J514" s="536"/>
      <c r="K514" s="536"/>
      <c r="L514" s="536"/>
      <c r="M514" s="536"/>
      <c r="N514" s="536"/>
      <c r="O514" s="536"/>
      <c r="P514" s="536"/>
      <c r="Q514" s="536"/>
      <c r="R514" s="536"/>
      <c r="S514" s="536"/>
      <c r="T514" s="536"/>
      <c r="U514" s="536"/>
      <c r="V514" s="536"/>
      <c r="W514" s="536"/>
      <c r="X514" s="153"/>
      <c r="Y514" s="194"/>
    </row>
    <row r="515" spans="1:25" ht="21.95" customHeight="1" x14ac:dyDescent="0.2">
      <c r="A515" s="290" t="s">
        <v>3321</v>
      </c>
      <c r="B515" s="292" t="str">
        <f ca="1">IF(B513&gt;0,"Data Error(s)",IF(B514=0,"Not Started",IF(B514&lt;1,ROUNDUP(B514*100,0)&amp;"% Done",IF(B514&gt;1,"Optional","Complete"))))</f>
        <v>Not Started</v>
      </c>
      <c r="C515" s="281"/>
      <c r="D515" s="281"/>
      <c r="E515" s="281"/>
      <c r="F515" s="281"/>
      <c r="G515" s="281"/>
      <c r="H515" s="215"/>
      <c r="I515" s="563" t="s">
        <v>3445</v>
      </c>
      <c r="J515" s="614"/>
      <c r="K515" s="614"/>
      <c r="L515" s="614"/>
      <c r="M515" s="614"/>
      <c r="N515" s="614"/>
      <c r="O515" s="614"/>
      <c r="P515" s="614"/>
      <c r="Q515" s="614"/>
      <c r="R515" s="614"/>
      <c r="S515" s="614"/>
      <c r="T515" s="614"/>
      <c r="U515" s="614"/>
      <c r="V515" s="204"/>
      <c r="W515" s="230"/>
      <c r="X515" s="165">
        <f ca="1">G310</f>
        <v>1</v>
      </c>
      <c r="Y515" s="194"/>
    </row>
    <row r="516" spans="1:25" ht="21.95" customHeight="1" x14ac:dyDescent="0.2">
      <c r="A516" s="290" t="s">
        <v>3322</v>
      </c>
      <c r="B516" s="282" t="str">
        <f ca="1">IF(B513&gt;0,0,IF(B514&lt;1,"",2))</f>
        <v/>
      </c>
      <c r="C516" s="281"/>
      <c r="D516" s="281"/>
      <c r="E516" s="281"/>
      <c r="F516" s="281"/>
      <c r="G516" s="281"/>
      <c r="H516" s="215"/>
      <c r="I516" s="614"/>
      <c r="J516" s="614"/>
      <c r="K516" s="614"/>
      <c r="L516" s="614"/>
      <c r="M516" s="614"/>
      <c r="N516" s="614"/>
      <c r="O516" s="614"/>
      <c r="P516" s="614"/>
      <c r="Q516" s="614"/>
      <c r="R516" s="614"/>
      <c r="S516" s="614"/>
      <c r="T516" s="614"/>
      <c r="U516" s="614"/>
      <c r="V516" s="153"/>
      <c r="W516" s="194"/>
      <c r="X516" s="153"/>
      <c r="Y516" s="194"/>
    </row>
    <row r="517" spans="1:25" ht="21.95" customHeight="1" x14ac:dyDescent="0.2">
      <c r="A517" s="290" t="s">
        <v>3323</v>
      </c>
      <c r="B517" s="293" t="s">
        <v>3208</v>
      </c>
      <c r="C517" s="281"/>
      <c r="D517" s="281"/>
      <c r="E517" s="281"/>
      <c r="F517" s="281"/>
      <c r="G517" s="281"/>
      <c r="H517" s="215"/>
      <c r="I517" s="207" t="s">
        <v>2844</v>
      </c>
      <c r="J517" s="153"/>
      <c r="K517" s="215"/>
      <c r="L517" s="153"/>
      <c r="M517" s="215"/>
      <c r="N517" s="153"/>
      <c r="O517" s="215"/>
      <c r="P517" s="153"/>
      <c r="Q517" s="215"/>
      <c r="R517" s="153"/>
      <c r="S517" s="207" t="s">
        <v>3384</v>
      </c>
      <c r="T517" s="153"/>
      <c r="U517" s="215"/>
      <c r="V517" s="153"/>
      <c r="W517" s="215"/>
      <c r="X517" s="153"/>
      <c r="Y517" s="194"/>
    </row>
    <row r="518" spans="1:25" ht="21.95" customHeight="1" x14ac:dyDescent="0.2">
      <c r="A518" s="294" t="s">
        <v>3324</v>
      </c>
      <c r="B518" s="282">
        <v>0</v>
      </c>
      <c r="C518" s="281" t="s">
        <v>2462</v>
      </c>
      <c r="D518" s="281"/>
      <c r="E518" s="281"/>
      <c r="F518" s="281"/>
      <c r="G518" s="281"/>
      <c r="H518" s="215"/>
      <c r="I518" s="466"/>
      <c r="J518" s="467"/>
      <c r="K518" s="467"/>
      <c r="L518" s="467"/>
      <c r="M518" s="467"/>
      <c r="N518" s="467"/>
      <c r="O518" s="467"/>
      <c r="P518" s="467"/>
      <c r="Q518" s="468"/>
      <c r="R518" s="165" t="str">
        <f ca="1">G311</f>
        <v/>
      </c>
      <c r="S518" s="570"/>
      <c r="T518" s="571"/>
      <c r="U518" s="571"/>
      <c r="V518" s="571"/>
      <c r="W518" s="572"/>
      <c r="X518" s="165" t="str">
        <f ca="1">G314</f>
        <v/>
      </c>
      <c r="Y518" s="194"/>
    </row>
    <row r="519" spans="1:25" ht="21.95" customHeight="1" x14ac:dyDescent="0.2">
      <c r="A519" s="294" t="s">
        <v>3325</v>
      </c>
      <c r="B519" s="282" t="b">
        <f>(B518&gt;0)</f>
        <v>0</v>
      </c>
      <c r="C519" s="281"/>
      <c r="D519" s="281"/>
      <c r="E519" s="281"/>
      <c r="F519" s="281"/>
      <c r="G519" s="281"/>
      <c r="H519" s="215"/>
      <c r="I519" s="207" t="s">
        <v>3446</v>
      </c>
      <c r="J519" s="153"/>
      <c r="K519" s="215"/>
      <c r="L519" s="153"/>
      <c r="M519" s="215"/>
      <c r="N519" s="153"/>
      <c r="O519" s="215"/>
      <c r="P519" s="153"/>
      <c r="Q519" s="215"/>
      <c r="R519" s="153"/>
      <c r="S519" s="207" t="s">
        <v>2845</v>
      </c>
      <c r="T519" s="153"/>
      <c r="U519" s="215"/>
      <c r="V519" s="153"/>
      <c r="W519" s="215"/>
      <c r="X519" s="153"/>
      <c r="Y519" s="194"/>
    </row>
    <row r="520" spans="1:25" ht="21.95" customHeight="1" x14ac:dyDescent="0.2">
      <c r="A520" s="440" t="s">
        <v>3887</v>
      </c>
      <c r="B520" s="282">
        <v>7</v>
      </c>
      <c r="C520" s="281"/>
      <c r="D520" s="281"/>
      <c r="E520" s="281"/>
      <c r="F520" s="281"/>
      <c r="G520" s="281"/>
      <c r="H520" s="215"/>
      <c r="I520" s="466"/>
      <c r="J520" s="467"/>
      <c r="K520" s="467"/>
      <c r="L520" s="467"/>
      <c r="M520" s="467"/>
      <c r="N520" s="467"/>
      <c r="O520" s="467"/>
      <c r="P520" s="467"/>
      <c r="Q520" s="468"/>
      <c r="R520" s="165" t="str">
        <f ca="1">G312</f>
        <v/>
      </c>
      <c r="S520" s="570"/>
      <c r="T520" s="571"/>
      <c r="U520" s="571"/>
      <c r="V520" s="571"/>
      <c r="W520" s="572"/>
      <c r="X520" s="165" t="str">
        <f ca="1">G313</f>
        <v/>
      </c>
      <c r="Y520" s="194"/>
    </row>
    <row r="521" spans="1:25" ht="21.95" customHeight="1" x14ac:dyDescent="0.2">
      <c r="A521" s="440" t="s">
        <v>3888</v>
      </c>
      <c r="B521" s="282">
        <f ca="1">DATA_SCORE_PROJREADY_FINAL</f>
        <v>0</v>
      </c>
      <c r="C521" s="281"/>
      <c r="D521" s="281"/>
      <c r="E521" s="281"/>
      <c r="F521" s="281"/>
      <c r="G521" s="281"/>
      <c r="H521" s="215"/>
      <c r="I521" s="215"/>
      <c r="J521" s="153"/>
      <c r="K521" s="215"/>
      <c r="L521" s="153"/>
      <c r="M521" s="215"/>
      <c r="N521" s="153"/>
      <c r="O521" s="215"/>
      <c r="P521" s="153"/>
      <c r="Q521" s="215"/>
      <c r="R521" s="153"/>
      <c r="S521" s="215"/>
      <c r="T521" s="153"/>
      <c r="U521" s="215"/>
      <c r="V521" s="153"/>
      <c r="W521" s="215"/>
      <c r="X521" s="153"/>
      <c r="Y521" s="194"/>
    </row>
    <row r="522" spans="1:25" ht="21.95" customHeight="1" thickBot="1" x14ac:dyDescent="0.25">
      <c r="A522" s="440" t="s">
        <v>3889</v>
      </c>
      <c r="B522" s="282" t="str">
        <f>SUBSTITUTE(CONFIG_POINT_HEADER_TEMPLATE,"[MAX]",B520)</f>
        <v>(Maximum Points: 7)</v>
      </c>
      <c r="C522" s="281"/>
      <c r="D522" s="281"/>
      <c r="E522" s="281"/>
      <c r="F522" s="281"/>
      <c r="G522" s="281"/>
      <c r="H522" s="215"/>
      <c r="I522" s="216" t="s">
        <v>2846</v>
      </c>
      <c r="J522" s="217"/>
      <c r="K522" s="218"/>
      <c r="L522" s="217"/>
      <c r="M522" s="218"/>
      <c r="N522" s="217"/>
      <c r="O522" s="218"/>
      <c r="P522" s="217"/>
      <c r="Q522" s="218"/>
      <c r="R522" s="217"/>
      <c r="S522" s="218"/>
      <c r="T522" s="217"/>
      <c r="U522" s="218"/>
      <c r="V522" s="217"/>
      <c r="W522" s="218"/>
      <c r="X522" s="153"/>
      <c r="Y522" s="194"/>
    </row>
    <row r="523" spans="1:25" ht="21.95" customHeight="1" thickTop="1" x14ac:dyDescent="0.2">
      <c r="A523" s="440" t="s">
        <v>3890</v>
      </c>
      <c r="B523" s="441" t="str">
        <f ca="1">SUBSTITUTE(CONFIG_SCORE_SUBHEADER_TEMPLATE,"[SCORE]",ROUND(B521,2))</f>
        <v>Estimated Score: 0</v>
      </c>
      <c r="C523" s="281"/>
      <c r="D523" s="281"/>
      <c r="E523" s="281"/>
      <c r="F523" s="281"/>
      <c r="G523" s="281"/>
      <c r="H523" s="215"/>
      <c r="I523" s="707" t="str">
        <f ca="1">D315</f>
        <v/>
      </c>
      <c r="J523" s="708"/>
      <c r="K523" s="708"/>
      <c r="L523" s="708"/>
      <c r="M523" s="708"/>
      <c r="N523" s="708"/>
      <c r="O523" s="708"/>
      <c r="P523" s="708"/>
      <c r="Q523" s="708"/>
      <c r="R523" s="708"/>
      <c r="S523" s="708"/>
      <c r="T523" s="708"/>
      <c r="U523" s="708"/>
      <c r="V523" s="708"/>
      <c r="W523" s="708"/>
      <c r="X523" s="153"/>
      <c r="Y523" s="194"/>
    </row>
    <row r="524" spans="1:25" ht="21.95" customHeight="1" x14ac:dyDescent="0.2">
      <c r="A524" s="285" t="s">
        <v>3349</v>
      </c>
      <c r="B524" s="305" t="str">
        <f>C524&amp;" "&amp;B550</f>
        <v>Community Stability, Including Affordable Housing Preservation (Maximum Points: 14)</v>
      </c>
      <c r="C524" s="287" t="s">
        <v>3822</v>
      </c>
      <c r="D524" s="287"/>
      <c r="E524" s="287"/>
      <c r="F524" s="287"/>
      <c r="G524" s="172" t="str">
        <f>B545</f>
        <v>Community Stability</v>
      </c>
      <c r="H524" s="215"/>
      <c r="I524" s="499" t="s">
        <v>2847</v>
      </c>
      <c r="J524" s="498"/>
      <c r="K524" s="498"/>
      <c r="L524" s="498"/>
      <c r="M524" s="498"/>
      <c r="N524" s="498"/>
      <c r="O524" s="498"/>
      <c r="P524" s="498"/>
      <c r="Q524" s="498"/>
      <c r="R524" s="498"/>
      <c r="S524" s="498"/>
      <c r="T524" s="498"/>
      <c r="U524" s="498"/>
      <c r="V524" s="204"/>
      <c r="W524" s="230"/>
      <c r="X524" s="165">
        <f ca="1">G315</f>
        <v>1</v>
      </c>
      <c r="Y524" s="194"/>
    </row>
    <row r="525" spans="1:25" ht="21.95" customHeight="1" x14ac:dyDescent="0.2">
      <c r="A525" s="273" t="s">
        <v>3264</v>
      </c>
      <c r="B525" s="295">
        <v>0</v>
      </c>
      <c r="C525" s="281">
        <f ca="1">VLOOKUP(A525,DB_TBL_DATA_FIELDS[[FIELD_ID]:[PCT_CALC_FIELD_STATUS_CODE]],22,FALSE)</f>
        <v>1</v>
      </c>
      <c r="D525" s="281" t="str">
        <f>IF(VLOOKUP(A525,DB_TBL_DATA_FIELDS[[FIELD_ID]:[ERROR_MESSAGE]],23,FALSE)&lt;&gt;0,VLOOKUP(A525,DB_TBL_DATA_FIELDS[[FIELD_ID]:[ERROR_MESSAGE]],23,FALSE),"")</f>
        <v/>
      </c>
      <c r="E525" s="281">
        <f>VLOOKUP(A525,DB_TBL_DATA_FIELDS[[#All],[FIELD_ID]:[RANGE_VALIDATION_MAX]],18,FALSE)</f>
        <v>0</v>
      </c>
      <c r="F525" s="281">
        <f>VLOOKUP(A525,DB_TBL_DATA_FIELDS[[#All],[FIELD_ID]:[RANGE_VALIDATION_MAX]],19,FALSE)</f>
        <v>999999999999</v>
      </c>
      <c r="G525" s="281">
        <f ca="1">IF(C525&lt;0,"",C525)</f>
        <v>1</v>
      </c>
      <c r="H525" s="215"/>
      <c r="I525" s="243"/>
      <c r="J525" s="243"/>
      <c r="K525" s="243"/>
      <c r="L525" s="243"/>
      <c r="M525" s="243"/>
      <c r="N525" s="243"/>
      <c r="O525" s="243"/>
      <c r="P525" s="243"/>
      <c r="Q525" s="243"/>
      <c r="R525" s="243"/>
      <c r="S525" s="202"/>
      <c r="T525" s="244"/>
      <c r="U525" s="244"/>
      <c r="V525" s="244"/>
      <c r="W525" s="244"/>
      <c r="X525" s="153"/>
      <c r="Y525" s="194"/>
    </row>
    <row r="526" spans="1:25" ht="21.95" customHeight="1" x14ac:dyDescent="0.2">
      <c r="A526" s="336" t="s">
        <v>3272</v>
      </c>
      <c r="B526" s="298">
        <v>0</v>
      </c>
      <c r="C526" s="299"/>
      <c r="D526" s="299"/>
      <c r="E526" s="299"/>
      <c r="F526" s="299"/>
      <c r="G526" s="299"/>
      <c r="H526" s="215"/>
      <c r="I526" s="207" t="s">
        <v>2848</v>
      </c>
      <c r="J526" s="153"/>
      <c r="K526" s="215"/>
      <c r="L526" s="153"/>
      <c r="M526" s="215"/>
      <c r="N526" s="153"/>
      <c r="O526" s="215"/>
      <c r="P526" s="153"/>
      <c r="Q526" s="215"/>
      <c r="R526" s="153"/>
      <c r="S526" s="207" t="s">
        <v>3384</v>
      </c>
      <c r="T526" s="245"/>
      <c r="U526" s="245"/>
      <c r="V526" s="245"/>
      <c r="W526" s="245"/>
      <c r="X526" s="153"/>
      <c r="Y526" s="194"/>
    </row>
    <row r="527" spans="1:25" ht="21.95" customHeight="1" x14ac:dyDescent="0.2">
      <c r="A527" s="273" t="s">
        <v>3283</v>
      </c>
      <c r="B527" s="295">
        <v>0</v>
      </c>
      <c r="C527" s="281">
        <f ca="1">VLOOKUP(A527,DB_TBL_DATA_FIELDS[[FIELD_ID]:[PCT_CALC_FIELD_STATUS_CODE]],22,FALSE)</f>
        <v>1</v>
      </c>
      <c r="D527" s="281" t="str">
        <f>IF(VLOOKUP(A527,DB_TBL_DATA_FIELDS[[FIELD_ID]:[ERROR_MESSAGE]],23,FALSE)&lt;&gt;0,VLOOKUP(A527,DB_TBL_DATA_FIELDS[[FIELD_ID]:[ERROR_MESSAGE]],23,FALSE),"")</f>
        <v/>
      </c>
      <c r="E527" s="281">
        <f>VLOOKUP(A527,DB_TBL_DATA_FIELDS[[#All],[FIELD_ID]:[RANGE_VALIDATION_MAX]],18,FALSE)</f>
        <v>0</v>
      </c>
      <c r="F527" s="281">
        <f>VLOOKUP(A527,DB_TBL_DATA_FIELDS[[#All],[FIELD_ID]:[RANGE_VALIDATION_MAX]],19,FALSE)</f>
        <v>999999999999</v>
      </c>
      <c r="G527" s="281">
        <f t="shared" ref="G527:G536" ca="1" si="65">IF(C527&lt;0,"",C527)</f>
        <v>1</v>
      </c>
      <c r="H527" s="215"/>
      <c r="I527" s="466"/>
      <c r="J527" s="467"/>
      <c r="K527" s="467"/>
      <c r="L527" s="467"/>
      <c r="M527" s="467"/>
      <c r="N527" s="467"/>
      <c r="O527" s="467"/>
      <c r="P527" s="467"/>
      <c r="Q527" s="468"/>
      <c r="R527" s="165" t="str">
        <f ca="1">G316</f>
        <v/>
      </c>
      <c r="S527" s="570"/>
      <c r="T527" s="571"/>
      <c r="U527" s="571"/>
      <c r="V527" s="571"/>
      <c r="W527" s="572"/>
      <c r="X527" s="165" t="str">
        <f ca="1">G319</f>
        <v/>
      </c>
      <c r="Y527" s="194"/>
    </row>
    <row r="528" spans="1:25" ht="21.95" customHeight="1" x14ac:dyDescent="0.2">
      <c r="A528" s="273" t="s">
        <v>3302</v>
      </c>
      <c r="B528" s="288" t="str">
        <f>IF(W752&lt;&gt;"",W752,"")</f>
        <v/>
      </c>
      <c r="C528" s="281">
        <f ca="1">VLOOKUP(A528,DB_TBL_DATA_FIELDS[[FIELD_ID]:[PCT_CALC_FIELD_STATUS_CODE]],22,FALSE)</f>
        <v>1</v>
      </c>
      <c r="D528" s="281" t="str">
        <f>IF(VLOOKUP(A528,DB_TBL_DATA_FIELDS[[FIELD_ID]:[ERROR_MESSAGE]],23,FALSE)&lt;&gt;0,VLOOKUP(A528,DB_TBL_DATA_FIELDS[[FIELD_ID]:[ERROR_MESSAGE]],23,FALSE),"")</f>
        <v/>
      </c>
      <c r="E528" s="281">
        <f>VLOOKUP(A528,DB_TBL_DATA_FIELDS[[#All],[FIELD_ID]:[RANGE_VALIDATION_MAX]],18,FALSE)</f>
        <v>0</v>
      </c>
      <c r="F528" s="281">
        <f>VLOOKUP(A528,DB_TBL_DATA_FIELDS[[#All],[FIELD_ID]:[RANGE_VALIDATION_MAX]],19,FALSE)</f>
        <v>999999999999</v>
      </c>
      <c r="G528" s="281">
        <f t="shared" ca="1" si="65"/>
        <v>1</v>
      </c>
      <c r="H528" s="215"/>
      <c r="I528" s="207" t="s">
        <v>3446</v>
      </c>
      <c r="J528" s="153"/>
      <c r="K528" s="215"/>
      <c r="L528" s="153"/>
      <c r="M528" s="215"/>
      <c r="N528" s="153"/>
      <c r="O528" s="215"/>
      <c r="P528" s="153"/>
      <c r="Q528" s="215"/>
      <c r="R528" s="153"/>
      <c r="S528" s="207" t="s">
        <v>2845</v>
      </c>
      <c r="T528" s="153"/>
      <c r="U528" s="215"/>
      <c r="V528" s="153"/>
      <c r="W528" s="215"/>
      <c r="X528" s="153"/>
      <c r="Y528" s="194"/>
    </row>
    <row r="529" spans="1:25" ht="21.95" customHeight="1" x14ac:dyDescent="0.2">
      <c r="A529" s="273" t="s">
        <v>3640</v>
      </c>
      <c r="B529" s="288" t="str">
        <f>IF(I764&lt;&gt;"",I764,"")</f>
        <v/>
      </c>
      <c r="C529" s="281">
        <f ca="1">VLOOKUP(A529,DB_TBL_DATA_FIELDS[[FIELD_ID]:[PCT_CALC_FIELD_STATUS_CODE]],22,FALSE)</f>
        <v>-1</v>
      </c>
      <c r="D529" s="281" t="str">
        <f>IF(VLOOKUP(A529,DB_TBL_DATA_FIELDS[[FIELD_ID]:[ERROR_MESSAGE]],23,FALSE)&lt;&gt;0,VLOOKUP(A529,DB_TBL_DATA_FIELDS[[FIELD_ID]:[ERROR_MESSAGE]],23,FALSE),"")</f>
        <v/>
      </c>
      <c r="E529" s="281">
        <f>VLOOKUP(A529,DB_TBL_DATA_FIELDS[[#All],[FIELD_ID]:[RANGE_VALIDATION_MAX]],18,FALSE)</f>
        <v>0</v>
      </c>
      <c r="F529" s="281">
        <f>VLOOKUP(A529,DB_TBL_DATA_FIELDS[[#All],[FIELD_ID]:[RANGE_VALIDATION_MAX]],19,FALSE)</f>
        <v>1000</v>
      </c>
      <c r="G529" s="281" t="str">
        <f t="shared" ref="G529:G533" ca="1" si="66">IF(C529&lt;0,"",C529)</f>
        <v/>
      </c>
      <c r="H529" s="215"/>
      <c r="I529" s="466"/>
      <c r="J529" s="467"/>
      <c r="K529" s="467"/>
      <c r="L529" s="467"/>
      <c r="M529" s="467"/>
      <c r="N529" s="467"/>
      <c r="O529" s="467"/>
      <c r="P529" s="467"/>
      <c r="Q529" s="468"/>
      <c r="R529" s="165" t="str">
        <f ca="1">G317</f>
        <v/>
      </c>
      <c r="S529" s="570"/>
      <c r="T529" s="571"/>
      <c r="U529" s="571"/>
      <c r="V529" s="571"/>
      <c r="W529" s="572"/>
      <c r="X529" s="165" t="str">
        <f ca="1">G318</f>
        <v/>
      </c>
      <c r="Y529" s="194"/>
    </row>
    <row r="530" spans="1:25" ht="21.95" customHeight="1" x14ac:dyDescent="0.2">
      <c r="A530" s="273" t="s">
        <v>3305</v>
      </c>
      <c r="B530" s="288" t="str">
        <f>IF(W768&lt;&gt;"",W768,"")</f>
        <v/>
      </c>
      <c r="C530" s="281">
        <f ca="1">VLOOKUP(A530,DB_TBL_DATA_FIELDS[[FIELD_ID]:[PCT_CALC_FIELD_STATUS_CODE]],22,FALSE)</f>
        <v>1</v>
      </c>
      <c r="D530" s="281" t="str">
        <f>IF(VLOOKUP(A530,DB_TBL_DATA_FIELDS[[FIELD_ID]:[ERROR_MESSAGE]],23,FALSE)&lt;&gt;0,VLOOKUP(A530,DB_TBL_DATA_FIELDS[[FIELD_ID]:[ERROR_MESSAGE]],23,FALSE),"")</f>
        <v/>
      </c>
      <c r="E530" s="281">
        <f>VLOOKUP(A530,DB_TBL_DATA_FIELDS[[#All],[FIELD_ID]:[RANGE_VALIDATION_MAX]],18,FALSE)</f>
        <v>0</v>
      </c>
      <c r="F530" s="281">
        <f>VLOOKUP(A530,DB_TBL_DATA_FIELDS[[#All],[FIELD_ID]:[RANGE_VALIDATION_MAX]],19,FALSE)</f>
        <v>999999999999</v>
      </c>
      <c r="G530" s="281">
        <f t="shared" ca="1" si="66"/>
        <v>1</v>
      </c>
      <c r="H530" s="215"/>
      <c r="I530" s="194"/>
      <c r="J530" s="153"/>
      <c r="K530" s="194"/>
      <c r="L530" s="153"/>
      <c r="M530" s="194"/>
      <c r="N530" s="153"/>
      <c r="O530" s="194"/>
      <c r="P530" s="153"/>
      <c r="Q530" s="194"/>
      <c r="R530" s="153"/>
      <c r="S530" s="194"/>
      <c r="T530" s="153"/>
      <c r="U530" s="194"/>
      <c r="V530" s="153"/>
      <c r="W530" s="194"/>
      <c r="X530" s="153"/>
      <c r="Y530" s="194"/>
    </row>
    <row r="531" spans="1:25" ht="21.95" customHeight="1" thickBot="1" x14ac:dyDescent="0.25">
      <c r="A531" s="273" t="s">
        <v>3641</v>
      </c>
      <c r="B531" s="288" t="str">
        <f>IF(I784&lt;&gt;"",I784,"")</f>
        <v/>
      </c>
      <c r="C531" s="281">
        <f ca="1">VLOOKUP(A531,DB_TBL_DATA_FIELDS[[FIELD_ID]:[PCT_CALC_FIELD_STATUS_CODE]],22,FALSE)</f>
        <v>-1</v>
      </c>
      <c r="D531" s="281" t="str">
        <f>IF(VLOOKUP(A531,DB_TBL_DATA_FIELDS[[FIELD_ID]:[ERROR_MESSAGE]],23,FALSE)&lt;&gt;0,VLOOKUP(A531,DB_TBL_DATA_FIELDS[[FIELD_ID]:[ERROR_MESSAGE]],23,FALSE),"")</f>
        <v/>
      </c>
      <c r="E531" s="281">
        <f>VLOOKUP(A531,DB_TBL_DATA_FIELDS[[#All],[FIELD_ID]:[RANGE_VALIDATION_MAX]],18,FALSE)</f>
        <v>0</v>
      </c>
      <c r="F531" s="281">
        <f>VLOOKUP(A531,DB_TBL_DATA_FIELDS[[#All],[FIELD_ID]:[RANGE_VALIDATION_MAX]],19,FALSE)</f>
        <v>1000</v>
      </c>
      <c r="G531" s="281" t="str">
        <f t="shared" ca="1" si="66"/>
        <v/>
      </c>
      <c r="H531" s="215"/>
      <c r="I531" s="216" t="s">
        <v>2864</v>
      </c>
      <c r="J531" s="217"/>
      <c r="K531" s="223"/>
      <c r="L531" s="217"/>
      <c r="M531" s="223"/>
      <c r="N531" s="217"/>
      <c r="O531" s="223"/>
      <c r="P531" s="217"/>
      <c r="Q531" s="223"/>
      <c r="R531" s="217"/>
      <c r="S531" s="223"/>
      <c r="T531" s="217"/>
      <c r="U531" s="223"/>
      <c r="V531" s="217"/>
      <c r="W531" s="246"/>
      <c r="X531" s="153"/>
      <c r="Y531" s="194"/>
    </row>
    <row r="532" spans="1:25" ht="21.95" customHeight="1" thickTop="1" x14ac:dyDescent="0.2">
      <c r="A532" s="273" t="s">
        <v>3284</v>
      </c>
      <c r="B532" s="295">
        <v>0</v>
      </c>
      <c r="C532" s="281">
        <f ca="1">VLOOKUP(A532,DB_TBL_DATA_FIELDS[[FIELD_ID]:[PCT_CALC_FIELD_STATUS_CODE]],22,FALSE)</f>
        <v>1</v>
      </c>
      <c r="D532" s="281" t="str">
        <f>IF(VLOOKUP(A532,DB_TBL_DATA_FIELDS[[FIELD_ID]:[ERROR_MESSAGE]],23,FALSE)&lt;&gt;0,VLOOKUP(A532,DB_TBL_DATA_FIELDS[[FIELD_ID]:[ERROR_MESSAGE]],23,FALSE),"")</f>
        <v/>
      </c>
      <c r="E532" s="281">
        <f>VLOOKUP(A532,DB_TBL_DATA_FIELDS[[#All],[FIELD_ID]:[RANGE_VALIDATION_MAX]],18,FALSE)</f>
        <v>0</v>
      </c>
      <c r="F532" s="281">
        <f>VLOOKUP(A532,DB_TBL_DATA_FIELDS[[#All],[FIELD_ID]:[RANGE_VALIDATION_MAX]],19,FALSE)</f>
        <v>999999999999</v>
      </c>
      <c r="G532" s="281">
        <f t="shared" ca="1" si="66"/>
        <v>1</v>
      </c>
      <c r="H532" s="215"/>
      <c r="I532" s="707" t="str">
        <f ca="1">D320</f>
        <v/>
      </c>
      <c r="J532" s="708"/>
      <c r="K532" s="708"/>
      <c r="L532" s="708"/>
      <c r="M532" s="708"/>
      <c r="N532" s="708"/>
      <c r="O532" s="708"/>
      <c r="P532" s="708"/>
      <c r="Q532" s="708"/>
      <c r="R532" s="708"/>
      <c r="S532" s="708"/>
      <c r="T532" s="708"/>
      <c r="U532" s="708"/>
      <c r="V532" s="708"/>
      <c r="W532" s="708"/>
      <c r="X532" s="153"/>
      <c r="Y532" s="194"/>
    </row>
    <row r="533" spans="1:25" ht="21.95" customHeight="1" x14ac:dyDescent="0.2">
      <c r="A533" s="273" t="s">
        <v>3642</v>
      </c>
      <c r="B533" s="288" t="str">
        <f>IF(I810&lt;&gt;"",I810,"")</f>
        <v/>
      </c>
      <c r="C533" s="281">
        <f ca="1">VLOOKUP(A533,DB_TBL_DATA_FIELDS[[FIELD_ID]:[PCT_CALC_FIELD_STATUS_CODE]],22,FALSE)</f>
        <v>-1</v>
      </c>
      <c r="D533" s="281" t="str">
        <f>IF(VLOOKUP(A533,DB_TBL_DATA_FIELDS[[FIELD_ID]:[ERROR_MESSAGE]],23,FALSE)&lt;&gt;0,VLOOKUP(A533,DB_TBL_DATA_FIELDS[[FIELD_ID]:[ERROR_MESSAGE]],23,FALSE),"")</f>
        <v/>
      </c>
      <c r="E533" s="281">
        <f>VLOOKUP(A533,DB_TBL_DATA_FIELDS[[#All],[FIELD_ID]:[RANGE_VALIDATION_MAX]],18,FALSE)</f>
        <v>0</v>
      </c>
      <c r="F533" s="281">
        <f>VLOOKUP(A533,DB_TBL_DATA_FIELDS[[#All],[FIELD_ID]:[RANGE_VALIDATION_MAX]],19,FALSE)</f>
        <v>1000</v>
      </c>
      <c r="G533" s="281" t="str">
        <f t="shared" ca="1" si="66"/>
        <v/>
      </c>
      <c r="H533" s="215"/>
      <c r="I533" s="499" t="s">
        <v>2849</v>
      </c>
      <c r="J533" s="498"/>
      <c r="K533" s="498"/>
      <c r="L533" s="498"/>
      <c r="M533" s="498"/>
      <c r="N533" s="498"/>
      <c r="O533" s="498"/>
      <c r="P533" s="498"/>
      <c r="Q533" s="498"/>
      <c r="R533" s="498"/>
      <c r="S533" s="498"/>
      <c r="T533" s="498"/>
      <c r="U533" s="498"/>
      <c r="V533" s="204"/>
      <c r="W533" s="230"/>
      <c r="X533" s="165">
        <f ca="1">G320</f>
        <v>1</v>
      </c>
      <c r="Y533" s="194"/>
    </row>
    <row r="534" spans="1:25" ht="21.95" customHeight="1" x14ac:dyDescent="0.2">
      <c r="A534" s="273" t="s">
        <v>3308</v>
      </c>
      <c r="B534" s="295" t="b">
        <v>0</v>
      </c>
      <c r="C534" s="281" t="str">
        <f ca="1">VLOOKUP(A534,DB_TBL_DATA_FIELDS[[FIELD_ID]:[PCT_CALC_FIELD_STATUS_CODE]],22,FALSE)</f>
        <v/>
      </c>
      <c r="D534" s="281" t="str">
        <f>IF(VLOOKUP(A534,DB_TBL_DATA_FIELDS[[FIELD_ID]:[ERROR_MESSAGE]],23,FALSE)&lt;&gt;0,VLOOKUP(A534,DB_TBL_DATA_FIELDS[[FIELD_ID]:[ERROR_MESSAGE]],23,FALSE),"")</f>
        <v/>
      </c>
      <c r="E534" s="281">
        <f>VLOOKUP(A534,DB_TBL_DATA_FIELDS[[#All],[FIELD_ID]:[RANGE_VALIDATION_MAX]],18,FALSE)</f>
        <v>0</v>
      </c>
      <c r="F534" s="281">
        <f>VLOOKUP(A534,DB_TBL_DATA_FIELDS[[#All],[FIELD_ID]:[RANGE_VALIDATION_MAX]],19,FALSE)</f>
        <v>1</v>
      </c>
      <c r="G534" s="281" t="str">
        <f t="shared" ca="1" si="65"/>
        <v/>
      </c>
      <c r="H534" s="215"/>
      <c r="I534" s="207"/>
      <c r="J534" s="207"/>
      <c r="K534" s="207"/>
      <c r="L534" s="207"/>
      <c r="M534" s="207"/>
      <c r="N534" s="207"/>
      <c r="O534" s="207"/>
      <c r="P534" s="153"/>
      <c r="Q534" s="202"/>
      <c r="R534" s="247"/>
      <c r="S534" s="247"/>
      <c r="T534" s="249"/>
      <c r="U534" s="202"/>
      <c r="V534" s="248"/>
      <c r="W534" s="248"/>
      <c r="X534" s="202"/>
      <c r="Y534" s="194"/>
    </row>
    <row r="535" spans="1:25" ht="21.95" customHeight="1" x14ac:dyDescent="0.2">
      <c r="A535" s="273" t="s">
        <v>3309</v>
      </c>
      <c r="B535" s="295" t="b">
        <v>0</v>
      </c>
      <c r="C535" s="281" t="str">
        <f ca="1">VLOOKUP(A535,DB_TBL_DATA_FIELDS[[FIELD_ID]:[PCT_CALC_FIELD_STATUS_CODE]],22,FALSE)</f>
        <v/>
      </c>
      <c r="D535" s="281" t="str">
        <f>IF(VLOOKUP(A535,DB_TBL_DATA_FIELDS[[FIELD_ID]:[ERROR_MESSAGE]],23,FALSE)&lt;&gt;0,VLOOKUP(A535,DB_TBL_DATA_FIELDS[[FIELD_ID]:[ERROR_MESSAGE]],23,FALSE),"")</f>
        <v/>
      </c>
      <c r="E535" s="281">
        <f>VLOOKUP(A535,DB_TBL_DATA_FIELDS[[#All],[FIELD_ID]:[RANGE_VALIDATION_MAX]],18,FALSE)</f>
        <v>0</v>
      </c>
      <c r="F535" s="281">
        <f>VLOOKUP(A535,DB_TBL_DATA_FIELDS[[#All],[FIELD_ID]:[RANGE_VALIDATION_MAX]],19,FALSE)</f>
        <v>1</v>
      </c>
      <c r="G535" s="281" t="str">
        <f t="shared" ca="1" si="65"/>
        <v/>
      </c>
      <c r="H535" s="215"/>
      <c r="I535" s="207" t="s">
        <v>2850</v>
      </c>
      <c r="J535" s="153"/>
      <c r="K535" s="215"/>
      <c r="L535" s="153"/>
      <c r="M535" s="215"/>
      <c r="N535" s="153"/>
      <c r="O535" s="215"/>
      <c r="P535" s="153"/>
      <c r="Q535" s="705" t="s">
        <v>2852</v>
      </c>
      <c r="R535" s="706"/>
      <c r="S535" s="706"/>
      <c r="T535" s="250"/>
      <c r="U535" s="456" t="s">
        <v>3447</v>
      </c>
      <c r="V535" s="704"/>
      <c r="W535" s="704"/>
      <c r="X535" s="251" t="str">
        <f ca="1">IF($C$342=1,1,"")</f>
        <v/>
      </c>
      <c r="Y535" s="194"/>
    </row>
    <row r="536" spans="1:25" ht="21.95" customHeight="1" x14ac:dyDescent="0.2">
      <c r="A536" s="273" t="s">
        <v>3294</v>
      </c>
      <c r="B536" s="295">
        <v>0</v>
      </c>
      <c r="C536" s="281">
        <f ca="1">VLOOKUP(A536,DB_TBL_DATA_FIELDS[[FIELD_ID]:[PCT_CALC_FIELD_STATUS_CODE]],22,FALSE)</f>
        <v>1</v>
      </c>
      <c r="D536" s="281" t="str">
        <f>IF(VLOOKUP(A536,DB_TBL_DATA_FIELDS[[FIELD_ID]:[ERROR_MESSAGE]],23,FALSE)&lt;&gt;0,VLOOKUP(A536,DB_TBL_DATA_FIELDS[[FIELD_ID]:[ERROR_MESSAGE]],23,FALSE),"")</f>
        <v/>
      </c>
      <c r="E536" s="281">
        <f>VLOOKUP(A536,DB_TBL_DATA_FIELDS[[#All],[FIELD_ID]:[RANGE_VALIDATION_MAX]],18,FALSE)</f>
        <v>0</v>
      </c>
      <c r="F536" s="281">
        <f>VLOOKUP(A536,DB_TBL_DATA_FIELDS[[#All],[FIELD_ID]:[RANGE_VALIDATION_MAX]],19,FALSE)</f>
        <v>999999999999</v>
      </c>
      <c r="G536" s="281">
        <f t="shared" ca="1" si="65"/>
        <v>1</v>
      </c>
      <c r="H536" s="215"/>
      <c r="I536" s="466"/>
      <c r="J536" s="467"/>
      <c r="K536" s="467"/>
      <c r="L536" s="467"/>
      <c r="M536" s="467"/>
      <c r="N536" s="467"/>
      <c r="O536" s="468"/>
      <c r="P536" s="165" t="str">
        <f ca="1">G321</f>
        <v/>
      </c>
      <c r="Q536" s="532"/>
      <c r="R536" s="533"/>
      <c r="S536" s="534"/>
      <c r="T536" s="165" t="str">
        <f ca="1">G325</f>
        <v/>
      </c>
      <c r="U536" s="532"/>
      <c r="V536" s="533"/>
      <c r="W536" s="534"/>
      <c r="X536" s="165" t="str">
        <f ca="1">G326</f>
        <v/>
      </c>
      <c r="Y536" s="194"/>
    </row>
    <row r="537" spans="1:25" ht="21.95" customHeight="1" x14ac:dyDescent="0.2">
      <c r="A537" s="273" t="s">
        <v>3606</v>
      </c>
      <c r="B537" s="288" t="str">
        <f>IF(I834&lt;&gt;"",I834,"")</f>
        <v/>
      </c>
      <c r="C537" s="281">
        <f ca="1">VLOOKUP(A537,DB_TBL_DATA_FIELDS[[FIELD_ID]:[PCT_CALC_FIELD_STATUS_CODE]],22,FALSE)</f>
        <v>-1</v>
      </c>
      <c r="D537" s="281" t="str">
        <f>IF(VLOOKUP(A537,DB_TBL_DATA_FIELDS[[FIELD_ID]:[ERROR_MESSAGE]],23,FALSE)&lt;&gt;0,VLOOKUP(A537,DB_TBL_DATA_FIELDS[[FIELD_ID]:[ERROR_MESSAGE]],23,FALSE),"")</f>
        <v/>
      </c>
      <c r="E537" s="281">
        <f>VLOOKUP(A537,DB_TBL_DATA_FIELDS[[#All],[FIELD_ID]:[RANGE_VALIDATION_MAX]],18,FALSE)</f>
        <v>0</v>
      </c>
      <c r="F537" s="281">
        <f>VLOOKUP(A537,DB_TBL_DATA_FIELDS[[#All],[FIELD_ID]:[RANGE_VALIDATION_MAX]],19,FALSE)</f>
        <v>1000</v>
      </c>
      <c r="G537" s="281" t="str">
        <f t="shared" ref="G537" ca="1" si="67">IF(C537&lt;0,"",C537)</f>
        <v/>
      </c>
      <c r="H537" s="215"/>
      <c r="I537" s="207" t="s">
        <v>3384</v>
      </c>
      <c r="J537" s="153"/>
      <c r="K537" s="215"/>
      <c r="L537" s="153"/>
      <c r="M537" s="215"/>
      <c r="N537" s="153"/>
      <c r="O537" s="207" t="s">
        <v>3448</v>
      </c>
      <c r="P537" s="153"/>
      <c r="Q537" s="215"/>
      <c r="R537" s="153"/>
      <c r="S537" s="215"/>
      <c r="T537" s="153"/>
      <c r="U537" s="204" t="s">
        <v>2851</v>
      </c>
      <c r="V537" s="153"/>
      <c r="W537" s="215"/>
      <c r="X537" s="153"/>
      <c r="Y537" s="194"/>
    </row>
    <row r="538" spans="1:25" ht="21.95" customHeight="1" x14ac:dyDescent="0.2">
      <c r="A538" s="290" t="s">
        <v>3350</v>
      </c>
      <c r="B538" s="282" t="str">
        <f>"C"&amp;MATCH(LEFT(A538,LEN(A538)-LEN("_RANGE")),A:A,0)+1&amp;":C"&amp;(ROW()-1)</f>
        <v>C525:C537</v>
      </c>
      <c r="C538" s="281"/>
      <c r="D538" s="281"/>
      <c r="E538" s="281"/>
      <c r="F538" s="281"/>
      <c r="G538" s="281"/>
      <c r="H538" s="215"/>
      <c r="I538" s="570"/>
      <c r="J538" s="571"/>
      <c r="K538" s="571"/>
      <c r="L538" s="571"/>
      <c r="M538" s="572"/>
      <c r="N538" s="165" t="str">
        <f ca="1">G324</f>
        <v/>
      </c>
      <c r="O538" s="570"/>
      <c r="P538" s="571"/>
      <c r="Q538" s="571"/>
      <c r="R538" s="571"/>
      <c r="S538" s="572"/>
      <c r="T538" s="165" t="str">
        <f ca="1">G322</f>
        <v/>
      </c>
      <c r="U538" s="578" t="str">
        <f ca="1">IF(B323&lt;&gt;"",B323,"")</f>
        <v/>
      </c>
      <c r="V538" s="579"/>
      <c r="W538" s="580"/>
      <c r="X538" s="165" t="str">
        <f ca="1">G323</f>
        <v/>
      </c>
      <c r="Y538" s="194"/>
    </row>
    <row r="539" spans="1:25" ht="21.95" customHeight="1" x14ac:dyDescent="0.2">
      <c r="A539" s="290" t="s">
        <v>3351</v>
      </c>
      <c r="B539" s="282">
        <f ca="1">COUNTIF(INDIRECT($B538),2)</f>
        <v>0</v>
      </c>
      <c r="C539" s="281"/>
      <c r="D539" s="281"/>
      <c r="E539" s="281"/>
      <c r="F539" s="281"/>
      <c r="G539" s="281"/>
      <c r="H539" s="215"/>
      <c r="I539" s="215"/>
      <c r="J539" s="153"/>
      <c r="K539" s="215"/>
      <c r="L539" s="153"/>
      <c r="M539" s="215"/>
      <c r="N539" s="153"/>
      <c r="O539" s="215"/>
      <c r="P539" s="153"/>
      <c r="Q539" s="194"/>
      <c r="R539" s="153"/>
      <c r="S539" s="194"/>
      <c r="T539" s="153"/>
      <c r="U539" s="194"/>
      <c r="V539" s="153"/>
      <c r="W539" s="194"/>
      <c r="X539" s="153"/>
      <c r="Y539" s="194"/>
    </row>
    <row r="540" spans="1:25" ht="21.95" customHeight="1" x14ac:dyDescent="0.2">
      <c r="A540" s="290" t="s">
        <v>3352</v>
      </c>
      <c r="B540" s="282">
        <f ca="1">COUNTIF(INDIRECT($B538),0)+COUNTIF(INDIRECT($B538),1)+COUNTIF(INDIRECT($B538),2)</f>
        <v>6</v>
      </c>
      <c r="C540" s="281"/>
      <c r="D540" s="281"/>
      <c r="E540" s="281"/>
      <c r="F540" s="281"/>
      <c r="G540" s="281"/>
      <c r="H540" s="215"/>
      <c r="I540" s="573" t="s">
        <v>3449</v>
      </c>
      <c r="J540" s="574"/>
      <c r="K540" s="574"/>
      <c r="L540" s="574"/>
      <c r="M540" s="574"/>
      <c r="N540" s="574"/>
      <c r="O540" s="574"/>
      <c r="P540" s="574"/>
      <c r="Q540" s="574"/>
      <c r="R540" s="574"/>
      <c r="S540" s="574"/>
      <c r="T540" s="574"/>
      <c r="U540" s="574"/>
      <c r="V540" s="574"/>
      <c r="W540" s="574"/>
      <c r="X540" s="153"/>
      <c r="Y540" s="194"/>
    </row>
    <row r="541" spans="1:25" ht="21.95" customHeight="1" x14ac:dyDescent="0.2">
      <c r="A541" s="290" t="s">
        <v>3353</v>
      </c>
      <c r="B541" s="282">
        <f ca="1">COUNTIF(INDIRECT($B538),0)</f>
        <v>0</v>
      </c>
      <c r="C541" s="281" t="s">
        <v>2607</v>
      </c>
      <c r="D541" s="281"/>
      <c r="E541" s="281"/>
      <c r="F541" s="281"/>
      <c r="G541" s="281"/>
      <c r="H541" s="215"/>
      <c r="I541" s="574"/>
      <c r="J541" s="574"/>
      <c r="K541" s="574"/>
      <c r="L541" s="574"/>
      <c r="M541" s="574"/>
      <c r="N541" s="574"/>
      <c r="O541" s="574"/>
      <c r="P541" s="574"/>
      <c r="Q541" s="574"/>
      <c r="R541" s="574"/>
      <c r="S541" s="574"/>
      <c r="T541" s="574"/>
      <c r="U541" s="574"/>
      <c r="V541" s="574"/>
      <c r="W541" s="574"/>
      <c r="X541" s="153"/>
      <c r="Y541" s="194"/>
    </row>
    <row r="542" spans="1:25" ht="21.95" customHeight="1" x14ac:dyDescent="0.2">
      <c r="A542" s="290" t="s">
        <v>3354</v>
      </c>
      <c r="B542" s="291">
        <f ca="1">IFERROR(B539/B540,1.01)</f>
        <v>0</v>
      </c>
      <c r="C542" s="281"/>
      <c r="D542" s="281"/>
      <c r="E542" s="281"/>
      <c r="F542" s="281"/>
      <c r="G542" s="281"/>
      <c r="H542" s="215"/>
      <c r="I542" s="215"/>
      <c r="J542" s="153"/>
      <c r="K542" s="215"/>
      <c r="L542" s="153"/>
      <c r="M542" s="215"/>
      <c r="N542" s="153"/>
      <c r="O542" s="215"/>
      <c r="P542" s="153"/>
      <c r="Q542" s="194"/>
      <c r="R542" s="153"/>
      <c r="S542" s="194"/>
      <c r="T542" s="153"/>
      <c r="U542" s="194"/>
      <c r="V542" s="153"/>
      <c r="W542" s="194"/>
      <c r="X542" s="153"/>
      <c r="Y542" s="194"/>
    </row>
    <row r="543" spans="1:25" ht="21.95" customHeight="1" thickBot="1" x14ac:dyDescent="0.25">
      <c r="A543" s="290" t="s">
        <v>3355</v>
      </c>
      <c r="B543" s="292" t="str">
        <f ca="1">IF(B541&gt;0,"Data Error(s)",IF(B542=0,"Not Started",IF(B542&lt;1,ROUNDUP(B542*100,0)&amp;"% Done",IF(B542&gt;1,"Optional","Complete"))))</f>
        <v>Not Started</v>
      </c>
      <c r="C543" s="281"/>
      <c r="D543" s="281"/>
      <c r="E543" s="281"/>
      <c r="F543" s="281"/>
      <c r="G543" s="281"/>
      <c r="H543" s="215"/>
      <c r="I543" s="216" t="s">
        <v>3450</v>
      </c>
      <c r="J543" s="217"/>
      <c r="K543" s="218"/>
      <c r="L543" s="217"/>
      <c r="M543" s="218"/>
      <c r="N543" s="217"/>
      <c r="O543" s="218"/>
      <c r="P543" s="217"/>
      <c r="Q543" s="218"/>
      <c r="R543" s="217"/>
      <c r="S543" s="218"/>
      <c r="T543" s="217"/>
      <c r="U543" s="218"/>
      <c r="V543" s="217"/>
      <c r="W543" s="223"/>
      <c r="X543" s="153"/>
      <c r="Y543" s="194"/>
    </row>
    <row r="544" spans="1:25" ht="21.95" customHeight="1" thickTop="1" x14ac:dyDescent="0.2">
      <c r="A544" s="290" t="s">
        <v>3356</v>
      </c>
      <c r="B544" s="282" t="str">
        <f ca="1">IF(B541&gt;0,0,IF(B542&lt;1,"",2))</f>
        <v/>
      </c>
      <c r="C544" s="281"/>
      <c r="D544" s="281"/>
      <c r="E544" s="281"/>
      <c r="F544" s="281"/>
      <c r="G544" s="281"/>
      <c r="H544" s="215"/>
      <c r="I544" s="141"/>
      <c r="J544" s="153"/>
      <c r="K544" s="215"/>
      <c r="L544" s="153"/>
      <c r="M544" s="215"/>
      <c r="N544" s="153"/>
      <c r="O544" s="215"/>
      <c r="P544" s="153"/>
      <c r="Q544" s="215"/>
      <c r="R544" s="153"/>
      <c r="S544" s="215"/>
      <c r="T544" s="153"/>
      <c r="U544" s="215"/>
      <c r="V544" s="153"/>
      <c r="W544" s="194"/>
      <c r="X544" s="153"/>
      <c r="Y544" s="194"/>
    </row>
    <row r="545" spans="1:25" ht="21.95" customHeight="1" x14ac:dyDescent="0.2">
      <c r="A545" s="290" t="s">
        <v>3357</v>
      </c>
      <c r="B545" s="293" t="s">
        <v>3266</v>
      </c>
      <c r="C545" s="281"/>
      <c r="D545" s="281"/>
      <c r="E545" s="281"/>
      <c r="F545" s="281"/>
      <c r="G545" s="281"/>
      <c r="H545" s="215"/>
      <c r="I545" s="226" t="s">
        <v>2853</v>
      </c>
      <c r="J545" s="153"/>
      <c r="K545" s="194"/>
      <c r="L545" s="153"/>
      <c r="M545" s="194"/>
      <c r="N545" s="153"/>
      <c r="O545" s="194"/>
      <c r="P545" s="153"/>
      <c r="Q545" s="194"/>
      <c r="R545" s="153"/>
      <c r="S545" s="194"/>
      <c r="T545" s="153"/>
      <c r="U545" s="194"/>
      <c r="V545" s="153"/>
      <c r="W545" s="316"/>
      <c r="X545" s="165" t="str">
        <f t="shared" ref="X545:X550" ca="1" si="68">G328</f>
        <v/>
      </c>
      <c r="Y545" s="194"/>
    </row>
    <row r="546" spans="1:25" ht="21.95" customHeight="1" x14ac:dyDescent="0.2">
      <c r="A546" s="294" t="s">
        <v>3358</v>
      </c>
      <c r="B546" s="282">
        <v>0</v>
      </c>
      <c r="C546" s="281" t="s">
        <v>2462</v>
      </c>
      <c r="D546" s="281"/>
      <c r="E546" s="281"/>
      <c r="F546" s="281"/>
      <c r="G546" s="281"/>
      <c r="H546" s="215"/>
      <c r="I546" s="226" t="s">
        <v>2854</v>
      </c>
      <c r="J546" s="153"/>
      <c r="K546" s="194"/>
      <c r="L546" s="153"/>
      <c r="M546" s="194"/>
      <c r="N546" s="153"/>
      <c r="O546" s="194"/>
      <c r="P546" s="153"/>
      <c r="Q546" s="194"/>
      <c r="R546" s="153"/>
      <c r="S546" s="194"/>
      <c r="T546" s="153"/>
      <c r="U546" s="194"/>
      <c r="V546" s="153"/>
      <c r="W546" s="316"/>
      <c r="X546" s="165" t="str">
        <f t="shared" ca="1" si="68"/>
        <v/>
      </c>
      <c r="Y546" s="194"/>
    </row>
    <row r="547" spans="1:25" ht="21.95" customHeight="1" x14ac:dyDescent="0.2">
      <c r="A547" s="294" t="s">
        <v>3359</v>
      </c>
      <c r="B547" s="282" t="b">
        <f>(B546&gt;0)</f>
        <v>0</v>
      </c>
      <c r="C547" s="281"/>
      <c r="D547" s="281"/>
      <c r="E547" s="281"/>
      <c r="F547" s="281"/>
      <c r="G547" s="281"/>
      <c r="H547" s="215"/>
      <c r="I547" s="226" t="s">
        <v>2855</v>
      </c>
      <c r="J547" s="153"/>
      <c r="K547" s="194"/>
      <c r="L547" s="153"/>
      <c r="M547" s="194"/>
      <c r="N547" s="153"/>
      <c r="O547" s="194"/>
      <c r="P547" s="153"/>
      <c r="Q547" s="194"/>
      <c r="R547" s="153"/>
      <c r="S547" s="194"/>
      <c r="T547" s="153"/>
      <c r="U547" s="194"/>
      <c r="V547" s="153"/>
      <c r="W547" s="316"/>
      <c r="X547" s="165" t="str">
        <f t="shared" ca="1" si="68"/>
        <v/>
      </c>
      <c r="Y547" s="194"/>
    </row>
    <row r="548" spans="1:25" ht="21.95" customHeight="1" x14ac:dyDescent="0.2">
      <c r="A548" s="440" t="s">
        <v>3883</v>
      </c>
      <c r="B548" s="282">
        <v>14</v>
      </c>
      <c r="C548" s="281"/>
      <c r="D548" s="281"/>
      <c r="E548" s="281"/>
      <c r="F548" s="281"/>
      <c r="G548" s="281"/>
      <c r="H548" s="215"/>
      <c r="I548" s="226" t="s">
        <v>2856</v>
      </c>
      <c r="J548" s="153"/>
      <c r="K548" s="194"/>
      <c r="L548" s="153"/>
      <c r="M548" s="194"/>
      <c r="N548" s="153"/>
      <c r="O548" s="194"/>
      <c r="P548" s="153"/>
      <c r="Q548" s="194"/>
      <c r="R548" s="153"/>
      <c r="S548" s="194"/>
      <c r="T548" s="153"/>
      <c r="U548" s="194"/>
      <c r="V548" s="153"/>
      <c r="W548" s="316"/>
      <c r="X548" s="165" t="str">
        <f t="shared" ca="1" si="68"/>
        <v/>
      </c>
      <c r="Y548" s="194"/>
    </row>
    <row r="549" spans="1:25" ht="21.95" customHeight="1" x14ac:dyDescent="0.2">
      <c r="A549" s="440" t="s">
        <v>3884</v>
      </c>
      <c r="B549" s="282">
        <f ca="1">DATA_SCORE_COMMSTAB_FINAL</f>
        <v>0</v>
      </c>
      <c r="C549" s="281"/>
      <c r="D549" s="281"/>
      <c r="E549" s="281"/>
      <c r="F549" s="281"/>
      <c r="G549" s="281"/>
      <c r="H549" s="215"/>
      <c r="I549" s="226" t="s">
        <v>2857</v>
      </c>
      <c r="J549" s="153"/>
      <c r="K549" s="194"/>
      <c r="L549" s="153"/>
      <c r="M549" s="194"/>
      <c r="N549" s="153"/>
      <c r="O549" s="194"/>
      <c r="P549" s="153"/>
      <c r="Q549" s="194"/>
      <c r="R549" s="153"/>
      <c r="S549" s="194"/>
      <c r="T549" s="153"/>
      <c r="U549" s="194"/>
      <c r="V549" s="153"/>
      <c r="W549" s="316"/>
      <c r="X549" s="165" t="str">
        <f t="shared" ca="1" si="68"/>
        <v/>
      </c>
      <c r="Y549" s="194"/>
    </row>
    <row r="550" spans="1:25" ht="21.95" customHeight="1" x14ac:dyDescent="0.2">
      <c r="A550" s="440" t="s">
        <v>3885</v>
      </c>
      <c r="B550" s="282" t="str">
        <f>SUBSTITUTE(CONFIG_POINT_HEADER_TEMPLATE,"[MAX]",B548)</f>
        <v>(Maximum Points: 14)</v>
      </c>
      <c r="C550" s="281"/>
      <c r="D550" s="281"/>
      <c r="E550" s="281"/>
      <c r="F550" s="281"/>
      <c r="G550" s="281"/>
      <c r="H550" s="215"/>
      <c r="I550" s="226" t="s">
        <v>2858</v>
      </c>
      <c r="J550" s="153"/>
      <c r="K550" s="194"/>
      <c r="L550" s="153"/>
      <c r="M550" s="194"/>
      <c r="N550" s="153"/>
      <c r="O550" s="194"/>
      <c r="P550" s="153"/>
      <c r="Q550" s="194"/>
      <c r="R550" s="153"/>
      <c r="S550" s="194"/>
      <c r="T550" s="153"/>
      <c r="U550" s="194"/>
      <c r="V550" s="153"/>
      <c r="W550" s="316"/>
      <c r="X550" s="165" t="str">
        <f t="shared" ca="1" si="68"/>
        <v/>
      </c>
      <c r="Y550" s="194"/>
    </row>
    <row r="551" spans="1:25" ht="21.95" customHeight="1" x14ac:dyDescent="0.2">
      <c r="A551" s="440" t="s">
        <v>3886</v>
      </c>
      <c r="B551" s="441" t="str">
        <f ca="1">SUBSTITUTE(CONFIG_SCORE_SUBHEADER_TEMPLATE,"[SCORE]",ROUND(B549,2))</f>
        <v>Estimated Score: 0</v>
      </c>
      <c r="C551" s="281"/>
      <c r="D551" s="281"/>
      <c r="E551" s="281"/>
      <c r="F551" s="281"/>
      <c r="G551" s="281"/>
      <c r="H551" s="215"/>
      <c r="I551" s="194"/>
      <c r="J551" s="153"/>
      <c r="K551" s="194"/>
      <c r="L551" s="153"/>
      <c r="M551" s="194"/>
      <c r="N551" s="153"/>
      <c r="O551" s="194"/>
      <c r="P551" s="153"/>
      <c r="Q551" s="194"/>
      <c r="R551" s="153"/>
      <c r="S551" s="194"/>
      <c r="T551" s="153"/>
      <c r="U551" s="194"/>
      <c r="V551" s="153"/>
      <c r="W551" s="194"/>
      <c r="X551" s="153"/>
      <c r="Y551" s="194"/>
    </row>
    <row r="552" spans="1:25" ht="21.95" customHeight="1" thickBot="1" x14ac:dyDescent="0.25">
      <c r="A552" s="285" t="s">
        <v>3575</v>
      </c>
      <c r="B552" s="305" t="str">
        <f>C552&amp;" "&amp;B566</f>
        <v>Housing for Households Requiring Large Units (Maximum Points: 3)</v>
      </c>
      <c r="C552" s="287" t="s">
        <v>3821</v>
      </c>
      <c r="D552" s="287"/>
      <c r="E552" s="287"/>
      <c r="F552" s="287"/>
      <c r="G552" s="172" t="str">
        <f>B561</f>
        <v>Large Units</v>
      </c>
      <c r="H552" s="215"/>
      <c r="I552" s="424" t="str">
        <f>B349</f>
        <v>Sponsorship by a Not-For-Profit Organization or Government Entity (Maximum Points: 7)</v>
      </c>
      <c r="J552" s="269"/>
      <c r="K552" s="269"/>
      <c r="L552" s="269"/>
      <c r="M552" s="269"/>
      <c r="N552" s="269"/>
      <c r="O552" s="269"/>
      <c r="P552" s="269"/>
      <c r="Q552" s="269"/>
      <c r="R552" s="269"/>
      <c r="S552" s="269"/>
      <c r="T552" s="269"/>
      <c r="U552" s="269"/>
      <c r="V552" s="269"/>
      <c r="W552" s="269"/>
      <c r="X552" s="167" t="str">
        <f ca="1">"Status: "&amp;$B$382</f>
        <v>Status: Not Started</v>
      </c>
      <c r="Y552" s="194"/>
    </row>
    <row r="553" spans="1:25" ht="21.95" customHeight="1" x14ac:dyDescent="0.2">
      <c r="A553" s="273" t="s">
        <v>3745</v>
      </c>
      <c r="B553" s="288" t="str">
        <f>IF(TARGET_RENTAL_21_START&lt;&gt;"",TARGET_RENTAL_21_START,"")</f>
        <v/>
      </c>
      <c r="C553" s="281">
        <f ca="1">VLOOKUP(A553,DB_TBL_DATA_FIELDS[[FIELD_ID]:[PCT_CALC_FIELD_STATUS_CODE]],22,FALSE)</f>
        <v>1</v>
      </c>
      <c r="D553" s="281" t="str">
        <f ca="1">IF(VLOOKUP(A553,DB_TBL_DATA_FIELDS[[FIELD_ID]:[ERROR_MESSAGE]],23,FALSE)&lt;&gt;0,VLOOKUP(A553,DB_TBL_DATA_FIELDS[[FIELD_ID]:[ERROR_MESSAGE]],23,FALSE),"")</f>
        <v/>
      </c>
      <c r="E553" s="281">
        <f>VLOOKUP(A553,DB_TBL_DATA_FIELDS[[#All],[FIELD_ID]:[RANGE_VALIDATION_MAX]],18,FALSE)</f>
        <v>0</v>
      </c>
      <c r="F553" s="281">
        <f>VLOOKUP(A553,DB_TBL_DATA_FIELDS[[#All],[FIELD_ID]:[RANGE_VALIDATION_MAX]],19,FALSE)</f>
        <v>999999999999</v>
      </c>
      <c r="G553" s="281">
        <f t="shared" ref="G553" ca="1" si="69">IF(C553&lt;0,"",C553)</f>
        <v>1</v>
      </c>
      <c r="H553" s="215"/>
      <c r="I553" s="194"/>
      <c r="J553" s="153"/>
      <c r="K553" s="194"/>
      <c r="L553" s="153"/>
      <c r="M553" s="194"/>
      <c r="N553" s="153"/>
      <c r="O553" s="194"/>
      <c r="P553" s="153"/>
      <c r="Q553" s="194"/>
      <c r="R553" s="153"/>
      <c r="S553" s="194"/>
      <c r="T553" s="153"/>
      <c r="U553" s="194"/>
      <c r="V553" s="153"/>
      <c r="W553" s="194"/>
      <c r="X553" s="153"/>
      <c r="Y553" s="194"/>
    </row>
    <row r="554" spans="1:25" ht="21.95" customHeight="1" x14ac:dyDescent="0.2">
      <c r="A554" s="290" t="s">
        <v>3576</v>
      </c>
      <c r="B554" s="282" t="str">
        <f>"C"&amp;MATCH(LEFT(A554,LEN(A554)-LEN("_RANGE")),A:A,0)+1&amp;":C"&amp;(ROW()-1)</f>
        <v>C553:C553</v>
      </c>
      <c r="C554" s="281"/>
      <c r="D554" s="281"/>
      <c r="E554" s="281"/>
      <c r="F554" s="281"/>
      <c r="G554" s="281"/>
      <c r="H554" s="215"/>
      <c r="I554" s="577" t="s">
        <v>3678</v>
      </c>
      <c r="J554" s="577"/>
      <c r="K554" s="577"/>
      <c r="L554" s="577"/>
      <c r="M554" s="577"/>
      <c r="N554" s="577"/>
      <c r="O554" s="577"/>
      <c r="P554" s="577"/>
      <c r="Q554" s="577"/>
      <c r="R554" s="577"/>
      <c r="S554" s="577"/>
      <c r="T554" s="577"/>
      <c r="U554" s="577"/>
      <c r="V554" s="577"/>
      <c r="W554" s="577"/>
      <c r="X554" s="153"/>
      <c r="Y554" s="194"/>
    </row>
    <row r="555" spans="1:25" ht="21.95" customHeight="1" x14ac:dyDescent="0.2">
      <c r="A555" s="290" t="s">
        <v>3577</v>
      </c>
      <c r="B555" s="282">
        <f ca="1">COUNTIF(INDIRECT($B554),2)</f>
        <v>0</v>
      </c>
      <c r="C555" s="281"/>
      <c r="D555" s="281"/>
      <c r="E555" s="281"/>
      <c r="F555" s="281"/>
      <c r="G555" s="281"/>
      <c r="H555" s="215"/>
      <c r="I555" s="577"/>
      <c r="J555" s="577"/>
      <c r="K555" s="577"/>
      <c r="L555" s="577"/>
      <c r="M555" s="577"/>
      <c r="N555" s="577"/>
      <c r="O555" s="577"/>
      <c r="P555" s="577"/>
      <c r="Q555" s="577"/>
      <c r="R555" s="577"/>
      <c r="S555" s="577"/>
      <c r="T555" s="577"/>
      <c r="U555" s="577"/>
      <c r="V555" s="577"/>
      <c r="W555" s="577"/>
      <c r="X555" s="153"/>
      <c r="Y555" s="194"/>
    </row>
    <row r="556" spans="1:25" ht="21.95" customHeight="1" x14ac:dyDescent="0.2">
      <c r="A556" s="290" t="s">
        <v>3578</v>
      </c>
      <c r="B556" s="282">
        <f ca="1">COUNTIF(INDIRECT($B554),0)+COUNTIF(INDIRECT($B554),1)+COUNTIF(INDIRECT($B554),2)</f>
        <v>1</v>
      </c>
      <c r="C556" s="281"/>
      <c r="D556" s="281"/>
      <c r="E556" s="281"/>
      <c r="F556" s="281"/>
      <c r="G556" s="281"/>
      <c r="H556" s="215"/>
      <c r="I556" s="577"/>
      <c r="J556" s="577"/>
      <c r="K556" s="577"/>
      <c r="L556" s="577"/>
      <c r="M556" s="577"/>
      <c r="N556" s="577"/>
      <c r="O556" s="577"/>
      <c r="P556" s="577"/>
      <c r="Q556" s="577"/>
      <c r="R556" s="577"/>
      <c r="S556" s="577"/>
      <c r="T556" s="577"/>
      <c r="U556" s="577"/>
      <c r="V556" s="577"/>
      <c r="W556" s="577"/>
      <c r="X556" s="153"/>
      <c r="Y556" s="194"/>
    </row>
    <row r="557" spans="1:25" ht="21.95" customHeight="1" x14ac:dyDescent="0.2">
      <c r="A557" s="290" t="s">
        <v>3579</v>
      </c>
      <c r="B557" s="282">
        <f ca="1">COUNTIF(INDIRECT($B554),0)</f>
        <v>0</v>
      </c>
      <c r="C557" s="281" t="s">
        <v>2607</v>
      </c>
      <c r="D557" s="281"/>
      <c r="E557" s="281"/>
      <c r="F557" s="281"/>
      <c r="G557" s="281"/>
      <c r="H557" s="215"/>
      <c r="I557" s="577"/>
      <c r="J557" s="577"/>
      <c r="K557" s="577"/>
      <c r="L557" s="577"/>
      <c r="M557" s="577"/>
      <c r="N557" s="577"/>
      <c r="O557" s="577"/>
      <c r="P557" s="577"/>
      <c r="Q557" s="577"/>
      <c r="R557" s="577"/>
      <c r="S557" s="577"/>
      <c r="T557" s="577"/>
      <c r="U557" s="577"/>
      <c r="V557" s="577"/>
      <c r="W557" s="577"/>
      <c r="X557" s="153"/>
      <c r="Y557" s="194"/>
    </row>
    <row r="558" spans="1:25" ht="21.95" customHeight="1" x14ac:dyDescent="0.2">
      <c r="A558" s="290" t="s">
        <v>3580</v>
      </c>
      <c r="B558" s="291">
        <f ca="1">IFERROR(B555/B556,1.01)</f>
        <v>0</v>
      </c>
      <c r="C558" s="281"/>
      <c r="D558" s="281"/>
      <c r="E558" s="281"/>
      <c r="F558" s="281"/>
      <c r="G558" s="281"/>
      <c r="H558" s="215"/>
      <c r="I558" s="577"/>
      <c r="J558" s="577"/>
      <c r="K558" s="577"/>
      <c r="L558" s="577"/>
      <c r="M558" s="577"/>
      <c r="N558" s="577"/>
      <c r="O558" s="577"/>
      <c r="P558" s="577"/>
      <c r="Q558" s="577"/>
      <c r="R558" s="577"/>
      <c r="S558" s="577"/>
      <c r="T558" s="577"/>
      <c r="U558" s="577"/>
      <c r="V558" s="577"/>
      <c r="W558" s="577"/>
      <c r="X558" s="153"/>
      <c r="Y558" s="194"/>
    </row>
    <row r="559" spans="1:25" ht="21.95" customHeight="1" x14ac:dyDescent="0.2">
      <c r="A559" s="290" t="s">
        <v>3581</v>
      </c>
      <c r="B559" s="292" t="str">
        <f ca="1">IF(B557&gt;0,"Data Error(s)",IF(B558=0,"Not Started",IF(B558&lt;1,ROUNDUP(B558*100,0)&amp;"% Done",IF(B558&gt;1,"Optional","Complete"))))</f>
        <v>Not Started</v>
      </c>
      <c r="C559" s="281"/>
      <c r="D559" s="281"/>
      <c r="E559" s="281"/>
      <c r="F559" s="281"/>
      <c r="G559" s="281"/>
      <c r="H559" s="215"/>
      <c r="I559" s="577"/>
      <c r="J559" s="577"/>
      <c r="K559" s="577"/>
      <c r="L559" s="577"/>
      <c r="M559" s="577"/>
      <c r="N559" s="577"/>
      <c r="O559" s="577"/>
      <c r="P559" s="577"/>
      <c r="Q559" s="577"/>
      <c r="R559" s="577"/>
      <c r="S559" s="577"/>
      <c r="T559" s="577"/>
      <c r="U559" s="577"/>
      <c r="V559" s="577"/>
      <c r="W559" s="577"/>
      <c r="X559" s="153"/>
      <c r="Y559" s="194"/>
    </row>
    <row r="560" spans="1:25" ht="21.95" customHeight="1" x14ac:dyDescent="0.2">
      <c r="A560" s="290" t="s">
        <v>3582</v>
      </c>
      <c r="B560" s="282" t="str">
        <f ca="1">IF(B557&gt;0,0,IF(B558&lt;1,"",2))</f>
        <v/>
      </c>
      <c r="C560" s="281"/>
      <c r="D560" s="281"/>
      <c r="E560" s="281"/>
      <c r="F560" s="281"/>
      <c r="G560" s="281"/>
      <c r="H560" s="215"/>
      <c r="I560" s="577"/>
      <c r="J560" s="577"/>
      <c r="K560" s="577"/>
      <c r="L560" s="577"/>
      <c r="M560" s="577"/>
      <c r="N560" s="577"/>
      <c r="O560" s="577"/>
      <c r="P560" s="577"/>
      <c r="Q560" s="577"/>
      <c r="R560" s="577"/>
      <c r="S560" s="577"/>
      <c r="T560" s="577"/>
      <c r="U560" s="577"/>
      <c r="V560" s="577"/>
      <c r="W560" s="577"/>
      <c r="X560" s="153"/>
      <c r="Y560" s="194"/>
    </row>
    <row r="561" spans="1:25" ht="21.95" customHeight="1" x14ac:dyDescent="0.2">
      <c r="A561" s="290" t="s">
        <v>3583</v>
      </c>
      <c r="B561" s="293" t="s">
        <v>3747</v>
      </c>
      <c r="C561" s="281"/>
      <c r="D561" s="281"/>
      <c r="E561" s="281"/>
      <c r="F561" s="281"/>
      <c r="G561" s="281"/>
      <c r="H561" s="215"/>
      <c r="I561" s="577"/>
      <c r="J561" s="577"/>
      <c r="K561" s="577"/>
      <c r="L561" s="577"/>
      <c r="M561" s="577"/>
      <c r="N561" s="577"/>
      <c r="O561" s="577"/>
      <c r="P561" s="577"/>
      <c r="Q561" s="577"/>
      <c r="R561" s="577"/>
      <c r="S561" s="577"/>
      <c r="T561" s="577"/>
      <c r="U561" s="577"/>
      <c r="V561" s="577"/>
      <c r="W561" s="577"/>
      <c r="X561" s="153"/>
      <c r="Y561" s="194"/>
    </row>
    <row r="562" spans="1:25" ht="21.95" customHeight="1" x14ac:dyDescent="0.2">
      <c r="A562" s="294" t="s">
        <v>3584</v>
      </c>
      <c r="B562" s="282">
        <v>0</v>
      </c>
      <c r="C562" s="281" t="s">
        <v>2462</v>
      </c>
      <c r="D562" s="281"/>
      <c r="E562" s="281"/>
      <c r="F562" s="281"/>
      <c r="G562" s="281"/>
      <c r="H562" s="215"/>
      <c r="I562" s="577"/>
      <c r="J562" s="577"/>
      <c r="K562" s="577"/>
      <c r="L562" s="577"/>
      <c r="M562" s="577"/>
      <c r="N562" s="577"/>
      <c r="O562" s="577"/>
      <c r="P562" s="577"/>
      <c r="Q562" s="577"/>
      <c r="R562" s="577"/>
      <c r="S562" s="577"/>
      <c r="T562" s="577"/>
      <c r="U562" s="577"/>
      <c r="V562" s="577"/>
      <c r="W562" s="577"/>
      <c r="X562" s="153"/>
      <c r="Y562" s="194"/>
    </row>
    <row r="563" spans="1:25" ht="21.95" customHeight="1" x14ac:dyDescent="0.2">
      <c r="A563" s="294" t="s">
        <v>3585</v>
      </c>
      <c r="B563" s="282" t="b">
        <f>(B562&gt;0)</f>
        <v>0</v>
      </c>
      <c r="C563" s="281"/>
      <c r="D563" s="281"/>
      <c r="E563" s="281"/>
      <c r="F563" s="281"/>
      <c r="G563" s="281"/>
      <c r="H563" s="215"/>
      <c r="I563" s="577"/>
      <c r="J563" s="577"/>
      <c r="K563" s="577"/>
      <c r="L563" s="577"/>
      <c r="M563" s="577"/>
      <c r="N563" s="577"/>
      <c r="O563" s="577"/>
      <c r="P563" s="577"/>
      <c r="Q563" s="577"/>
      <c r="R563" s="577"/>
      <c r="S563" s="577"/>
      <c r="T563" s="577"/>
      <c r="U563" s="577"/>
      <c r="V563" s="577"/>
      <c r="W563" s="577"/>
      <c r="X563" s="153"/>
      <c r="Y563" s="194"/>
    </row>
    <row r="564" spans="1:25" ht="21.95" customHeight="1" thickBot="1" x14ac:dyDescent="0.25">
      <c r="A564" s="440" t="s">
        <v>3879</v>
      </c>
      <c r="B564" s="282">
        <v>3</v>
      </c>
      <c r="C564" s="281"/>
      <c r="D564" s="281"/>
      <c r="E564" s="281"/>
      <c r="F564" s="281"/>
      <c r="G564" s="281"/>
      <c r="H564" s="215"/>
      <c r="I564" s="216" t="s">
        <v>3016</v>
      </c>
      <c r="J564" s="217"/>
      <c r="K564" s="223"/>
      <c r="L564" s="217"/>
      <c r="M564" s="223"/>
      <c r="N564" s="217"/>
      <c r="O564" s="223"/>
      <c r="P564" s="217"/>
      <c r="Q564" s="223"/>
      <c r="R564" s="217"/>
      <c r="S564" s="223"/>
      <c r="T564" s="217"/>
      <c r="U564" s="223"/>
      <c r="V564" s="217"/>
      <c r="W564" s="223"/>
      <c r="X564" s="153"/>
      <c r="Y564" s="194"/>
    </row>
    <row r="565" spans="1:25" ht="21.95" customHeight="1" thickTop="1" x14ac:dyDescent="0.2">
      <c r="A565" s="440" t="s">
        <v>3880</v>
      </c>
      <c r="B565" s="282">
        <f ca="1">DATA_SCORE_LARGEUNITS_FINAL</f>
        <v>0</v>
      </c>
      <c r="C565" s="281"/>
      <c r="D565" s="281"/>
      <c r="E565" s="281"/>
      <c r="F565" s="281"/>
      <c r="G565" s="281"/>
      <c r="H565" s="215"/>
      <c r="I565" s="194"/>
      <c r="J565" s="153"/>
      <c r="K565" s="194"/>
      <c r="L565" s="153"/>
      <c r="M565" s="194"/>
      <c r="N565" s="153"/>
      <c r="O565" s="194"/>
      <c r="P565" s="153"/>
      <c r="Q565" s="194"/>
      <c r="R565" s="153"/>
      <c r="S565" s="194"/>
      <c r="T565" s="153"/>
      <c r="U565" s="194"/>
      <c r="V565" s="153"/>
      <c r="W565" s="194"/>
      <c r="X565" s="153"/>
      <c r="Y565" s="194"/>
    </row>
    <row r="566" spans="1:25" ht="21.95" customHeight="1" x14ac:dyDescent="0.2">
      <c r="A566" s="440" t="s">
        <v>3881</v>
      </c>
      <c r="B566" s="282" t="str">
        <f>SUBSTITUTE(CONFIG_POINT_HEADER_TEMPLATE,"[MAX]",B564)</f>
        <v>(Maximum Points: 3)</v>
      </c>
      <c r="C566" s="281"/>
      <c r="D566" s="281"/>
      <c r="E566" s="281"/>
      <c r="F566" s="281"/>
      <c r="G566" s="281"/>
      <c r="H566" s="215"/>
      <c r="I566" s="237" t="s">
        <v>3385</v>
      </c>
      <c r="J566" s="153"/>
      <c r="K566" s="215"/>
      <c r="L566" s="153"/>
      <c r="M566" s="215"/>
      <c r="N566" s="153"/>
      <c r="O566" s="215"/>
      <c r="P566" s="153"/>
      <c r="Q566" s="466"/>
      <c r="R566" s="467"/>
      <c r="S566" s="467"/>
      <c r="T566" s="467"/>
      <c r="U566" s="467"/>
      <c r="V566" s="467"/>
      <c r="W566" s="468"/>
      <c r="X566" s="165">
        <f ca="1">G350</f>
        <v>1</v>
      </c>
      <c r="Y566" s="194"/>
    </row>
    <row r="567" spans="1:25" ht="21.95" customHeight="1" x14ac:dyDescent="0.2">
      <c r="A567" s="440" t="s">
        <v>3882</v>
      </c>
      <c r="B567" s="441" t="str">
        <f ca="1">SUBSTITUTE(CONFIG_SCORE_SUBHEADER_TEMPLATE,"[SCORE]",ROUND(B565,2))</f>
        <v>Estimated Score: 0</v>
      </c>
      <c r="C567" s="281"/>
      <c r="D567" s="281"/>
      <c r="E567" s="281"/>
      <c r="F567" s="281"/>
      <c r="G567" s="281"/>
      <c r="H567" s="215"/>
      <c r="I567" s="226" t="s">
        <v>3451</v>
      </c>
      <c r="J567" s="153"/>
      <c r="K567" s="194"/>
      <c r="L567" s="153"/>
      <c r="M567" s="194"/>
      <c r="N567" s="153"/>
      <c r="O567" s="194"/>
      <c r="P567" s="153"/>
      <c r="Q567" s="194"/>
      <c r="R567" s="153"/>
      <c r="S567" s="194"/>
      <c r="T567" s="153"/>
      <c r="U567" s="194"/>
      <c r="V567" s="153"/>
      <c r="W567" s="194"/>
      <c r="X567" s="153"/>
      <c r="Y567" s="194"/>
    </row>
    <row r="568" spans="1:25" ht="21.95" customHeight="1" x14ac:dyDescent="0.2">
      <c r="A568" s="285" t="s">
        <v>3754</v>
      </c>
      <c r="B568" s="305" t="str">
        <f>C568&amp;" "&amp;B584</f>
        <v>Subsidy per Unit (Maximum Points: 12)</v>
      </c>
      <c r="C568" s="287" t="s">
        <v>3834</v>
      </c>
      <c r="D568" s="287"/>
      <c r="E568" s="287"/>
      <c r="F568" s="287"/>
      <c r="G568" s="172" t="str">
        <f>B579</f>
        <v>Subsidy per Unit</v>
      </c>
      <c r="H568" s="215"/>
      <c r="I568" s="194"/>
      <c r="J568" s="153"/>
      <c r="K568" s="194"/>
      <c r="L568" s="153"/>
      <c r="M568" s="194"/>
      <c r="N568" s="153"/>
      <c r="O568" s="194"/>
      <c r="P568" s="153"/>
      <c r="Q568" s="194"/>
      <c r="R568" s="153"/>
      <c r="S568" s="194"/>
      <c r="T568" s="153"/>
      <c r="U568" s="194"/>
      <c r="V568" s="153"/>
      <c r="W568" s="194"/>
      <c r="X568" s="153"/>
      <c r="Y568" s="194"/>
    </row>
    <row r="569" spans="1:25" ht="21.95" customHeight="1" x14ac:dyDescent="0.2">
      <c r="A569" s="273" t="s">
        <v>3831</v>
      </c>
      <c r="B569" s="296" t="str">
        <f ca="1">VLOOKUP(A569,'$DB.DATA'!D:H,5,FALSE)</f>
        <v/>
      </c>
      <c r="C569" s="281">
        <f ca="1">VLOOKUP(A569,DB_TBL_DATA_FIELDS[[FIELD_ID]:[PCT_CALC_FIELD_STATUS_CODE]],22,FALSE)</f>
        <v>1</v>
      </c>
      <c r="D569" s="281" t="str">
        <f>IF(VLOOKUP(A569,DB_TBL_DATA_FIELDS[[FIELD_ID]:[ERROR_MESSAGE]],23,FALSE)&lt;&gt;0,VLOOKUP(A569,DB_TBL_DATA_FIELDS[[FIELD_ID]:[ERROR_MESSAGE]],23,FALSE),"")</f>
        <v/>
      </c>
      <c r="E569" s="281">
        <f>VLOOKUP(A569,DB_TBL_DATA_FIELDS[[#All],[FIELD_ID]:[RANGE_VALIDATION_MAX]],18,FALSE)</f>
        <v>0</v>
      </c>
      <c r="F569" s="281">
        <f>VLOOKUP(A569,DB_TBL_DATA_FIELDS[[#All],[FIELD_ID]:[RANGE_VALIDATION_MAX]],19,FALSE)</f>
        <v>9999999999</v>
      </c>
      <c r="G569" s="281">
        <f t="shared" ref="G569" ca="1" si="70">IF(C569&lt;0,"",C569)</f>
        <v>1</v>
      </c>
      <c r="H569" s="215"/>
      <c r="I569" s="237" t="s">
        <v>3682</v>
      </c>
      <c r="J569" s="153"/>
      <c r="K569" s="215"/>
      <c r="L569" s="153"/>
      <c r="M569" s="215"/>
      <c r="N569" s="153"/>
      <c r="O569" s="215"/>
      <c r="P569" s="153"/>
      <c r="Q569" s="215"/>
      <c r="R569" s="153"/>
      <c r="S569" s="215"/>
      <c r="T569" s="153"/>
      <c r="U569" s="215"/>
      <c r="V569" s="153"/>
      <c r="W569" s="316"/>
      <c r="X569" s="165">
        <f ca="1">G352</f>
        <v>1</v>
      </c>
      <c r="Y569" s="194"/>
    </row>
    <row r="570" spans="1:25" ht="21.95" customHeight="1" x14ac:dyDescent="0.2">
      <c r="A570" s="273" t="s">
        <v>3832</v>
      </c>
      <c r="B570" s="296" t="str">
        <f ca="1">VLOOKUP(A570,'$DB.DATA'!D:H,5,FALSE)</f>
        <v/>
      </c>
      <c r="C570" s="281">
        <f ca="1">VLOOKUP(A570,DB_TBL_DATA_FIELDS[[FIELD_ID]:[PCT_CALC_FIELD_STATUS_CODE]],22,FALSE)</f>
        <v>1</v>
      </c>
      <c r="D570" s="281" t="str">
        <f>IF(VLOOKUP(A570,DB_TBL_DATA_FIELDS[[FIELD_ID]:[ERROR_MESSAGE]],23,FALSE)&lt;&gt;0,VLOOKUP(A570,DB_TBL_DATA_FIELDS[[FIELD_ID]:[ERROR_MESSAGE]],23,FALSE),"")</f>
        <v/>
      </c>
      <c r="E570" s="281">
        <f>VLOOKUP(A570,DB_TBL_DATA_FIELDS[[#All],[FIELD_ID]:[RANGE_VALIDATION_MAX]],18,FALSE)</f>
        <v>0</v>
      </c>
      <c r="F570" s="281">
        <f>VLOOKUP(A570,DB_TBL_DATA_FIELDS[[#All],[FIELD_ID]:[RANGE_VALIDATION_MAX]],19,FALSE)</f>
        <v>9999999999</v>
      </c>
      <c r="G570" s="281">
        <f t="shared" ref="G570:G571" ca="1" si="71">IF(C570&lt;0,"",C570)</f>
        <v>1</v>
      </c>
      <c r="H570" s="215"/>
      <c r="I570" s="563" t="s">
        <v>3681</v>
      </c>
      <c r="J570" s="563"/>
      <c r="K570" s="563"/>
      <c r="L570" s="563"/>
      <c r="M570" s="563"/>
      <c r="N570" s="563"/>
      <c r="O570" s="563"/>
      <c r="P570" s="563"/>
      <c r="Q570" s="563"/>
      <c r="R570" s="563"/>
      <c r="S570" s="563"/>
      <c r="T570" s="563"/>
      <c r="U570" s="563"/>
      <c r="V570" s="563"/>
      <c r="W570" s="563"/>
      <c r="X570" s="202"/>
      <c r="Y570" s="194"/>
    </row>
    <row r="571" spans="1:25" ht="21.95" customHeight="1" x14ac:dyDescent="0.2">
      <c r="A571" s="273" t="s">
        <v>3833</v>
      </c>
      <c r="B571" s="296" t="str">
        <f ca="1">VLOOKUP(A571,'$DB.DATA'!D:H,5,FALSE)</f>
        <v/>
      </c>
      <c r="C571" s="281">
        <f ca="1">VLOOKUP(A571,DB_TBL_DATA_FIELDS[[FIELD_ID]:[PCT_CALC_FIELD_STATUS_CODE]],22,FALSE)</f>
        <v>1</v>
      </c>
      <c r="D571" s="281" t="str">
        <f>IF(VLOOKUP(A571,DB_TBL_DATA_FIELDS[[FIELD_ID]:[ERROR_MESSAGE]],23,FALSE)&lt;&gt;0,VLOOKUP(A571,DB_TBL_DATA_FIELDS[[FIELD_ID]:[ERROR_MESSAGE]],23,FALSE),"")</f>
        <v/>
      </c>
      <c r="E571" s="281">
        <f>VLOOKUP(A571,DB_TBL_DATA_FIELDS[[#All],[FIELD_ID]:[RANGE_VALIDATION_MAX]],18,FALSE)</f>
        <v>0</v>
      </c>
      <c r="F571" s="281">
        <f>VLOOKUP(A571,DB_TBL_DATA_FIELDS[[#All],[FIELD_ID]:[RANGE_VALIDATION_MAX]],19,FALSE)</f>
        <v>9999999999</v>
      </c>
      <c r="G571" s="281">
        <f t="shared" ca="1" si="71"/>
        <v>1</v>
      </c>
      <c r="H571" s="215"/>
      <c r="I571" s="563"/>
      <c r="J571" s="563"/>
      <c r="K571" s="563"/>
      <c r="L571" s="563"/>
      <c r="M571" s="563"/>
      <c r="N571" s="563"/>
      <c r="O571" s="563"/>
      <c r="P571" s="563"/>
      <c r="Q571" s="563"/>
      <c r="R571" s="563"/>
      <c r="S571" s="563"/>
      <c r="T571" s="563"/>
      <c r="U571" s="563"/>
      <c r="V571" s="563"/>
      <c r="W571" s="563"/>
      <c r="X571" s="153"/>
      <c r="Y571" s="194"/>
    </row>
    <row r="572" spans="1:25" ht="21.95" customHeight="1" x14ac:dyDescent="0.2">
      <c r="A572" s="290" t="s">
        <v>3755</v>
      </c>
      <c r="B572" s="282" t="str">
        <f>"C"&amp;MATCH(LEFT(A572,LEN(A572)-LEN("_RANGE")),A:A,0)+1&amp;":C"&amp;(ROW()-1)</f>
        <v>C569:C571</v>
      </c>
      <c r="C572" s="281"/>
      <c r="D572" s="281"/>
      <c r="E572" s="281"/>
      <c r="F572" s="281"/>
      <c r="G572" s="281"/>
      <c r="H572" s="215"/>
      <c r="I572" s="563"/>
      <c r="J572" s="563"/>
      <c r="K572" s="563"/>
      <c r="L572" s="563"/>
      <c r="M572" s="563"/>
      <c r="N572" s="563"/>
      <c r="O572" s="563"/>
      <c r="P572" s="563"/>
      <c r="Q572" s="563"/>
      <c r="R572" s="563"/>
      <c r="S572" s="563"/>
      <c r="T572" s="563"/>
      <c r="U572" s="563"/>
      <c r="V572" s="563"/>
      <c r="W572" s="563"/>
      <c r="X572" s="153"/>
      <c r="Y572" s="194"/>
    </row>
    <row r="573" spans="1:25" ht="21.95" customHeight="1" x14ac:dyDescent="0.2">
      <c r="A573" s="290" t="s">
        <v>3756</v>
      </c>
      <c r="B573" s="282">
        <f ca="1">COUNTIF(INDIRECT($B572),2)</f>
        <v>0</v>
      </c>
      <c r="C573" s="281"/>
      <c r="D573" s="281"/>
      <c r="E573" s="281"/>
      <c r="F573" s="281"/>
      <c r="G573" s="281"/>
      <c r="H573" s="215"/>
      <c r="I573" s="563"/>
      <c r="J573" s="563"/>
      <c r="K573" s="563"/>
      <c r="L573" s="563"/>
      <c r="M573" s="563"/>
      <c r="N573" s="563"/>
      <c r="O573" s="563"/>
      <c r="P573" s="563"/>
      <c r="Q573" s="563"/>
      <c r="R573" s="563"/>
      <c r="S573" s="563"/>
      <c r="T573" s="563"/>
      <c r="U573" s="563"/>
      <c r="V573" s="563"/>
      <c r="W573" s="563"/>
      <c r="X573" s="153"/>
      <c r="Y573" s="194"/>
    </row>
    <row r="574" spans="1:25" ht="21.95" customHeight="1" thickBot="1" x14ac:dyDescent="0.25">
      <c r="A574" s="290" t="s">
        <v>3757</v>
      </c>
      <c r="B574" s="282">
        <f ca="1">COUNTIF(INDIRECT($B572),0)+COUNTIF(INDIRECT($B572),1)+COUNTIF(INDIRECT($B572),2)</f>
        <v>3</v>
      </c>
      <c r="C574" s="281"/>
      <c r="D574" s="281"/>
      <c r="E574" s="281"/>
      <c r="F574" s="281"/>
      <c r="G574" s="281"/>
      <c r="H574" s="215"/>
      <c r="I574" s="216" t="s">
        <v>3017</v>
      </c>
      <c r="J574" s="217"/>
      <c r="K574" s="223"/>
      <c r="L574" s="217"/>
      <c r="M574" s="223"/>
      <c r="N574" s="217"/>
      <c r="O574" s="223"/>
      <c r="P574" s="217"/>
      <c r="Q574" s="223"/>
      <c r="R574" s="217"/>
      <c r="S574" s="223"/>
      <c r="T574" s="217"/>
      <c r="U574" s="223"/>
      <c r="V574" s="217"/>
      <c r="W574" s="223"/>
      <c r="X574" s="153"/>
      <c r="Y574" s="194"/>
    </row>
    <row r="575" spans="1:25" ht="21.95" customHeight="1" thickTop="1" x14ac:dyDescent="0.2">
      <c r="A575" s="290" t="s">
        <v>3758</v>
      </c>
      <c r="B575" s="282">
        <f ca="1">COUNTIF(INDIRECT($B572),0)</f>
        <v>0</v>
      </c>
      <c r="C575" s="281" t="s">
        <v>2607</v>
      </c>
      <c r="D575" s="281"/>
      <c r="E575" s="281"/>
      <c r="F575" s="281"/>
      <c r="G575" s="281"/>
      <c r="H575" s="215"/>
      <c r="I575" s="496" t="s">
        <v>3651</v>
      </c>
      <c r="J575" s="497"/>
      <c r="K575" s="497"/>
      <c r="L575" s="497"/>
      <c r="M575" s="497"/>
      <c r="N575" s="497"/>
      <c r="O575" s="497"/>
      <c r="P575" s="497"/>
      <c r="Q575" s="497"/>
      <c r="R575" s="497"/>
      <c r="S575" s="497"/>
      <c r="T575" s="497"/>
      <c r="U575" s="497"/>
      <c r="V575" s="497"/>
      <c r="W575" s="497"/>
      <c r="X575" s="153"/>
      <c r="Y575" s="194"/>
    </row>
    <row r="576" spans="1:25" ht="21.95" customHeight="1" x14ac:dyDescent="0.2">
      <c r="A576" s="290" t="s">
        <v>3759</v>
      </c>
      <c r="B576" s="291">
        <f ca="1">IFERROR(B573/B574,1.01)</f>
        <v>0</v>
      </c>
      <c r="C576" s="281"/>
      <c r="D576" s="281"/>
      <c r="E576" s="281"/>
      <c r="F576" s="281"/>
      <c r="G576" s="281"/>
      <c r="H576" s="215"/>
      <c r="I576" s="498"/>
      <c r="J576" s="498"/>
      <c r="K576" s="498"/>
      <c r="L576" s="498"/>
      <c r="M576" s="498"/>
      <c r="N576" s="498"/>
      <c r="O576" s="498"/>
      <c r="P576" s="498"/>
      <c r="Q576" s="498"/>
      <c r="R576" s="498"/>
      <c r="S576" s="498"/>
      <c r="T576" s="498"/>
      <c r="U576" s="498"/>
      <c r="V576" s="498"/>
      <c r="W576" s="498"/>
      <c r="X576" s="153"/>
      <c r="Y576" s="194"/>
    </row>
    <row r="577" spans="1:25" ht="21.95" customHeight="1" x14ac:dyDescent="0.2">
      <c r="A577" s="290" t="s">
        <v>3760</v>
      </c>
      <c r="B577" s="292" t="str">
        <f ca="1">IF(B575&gt;0,"Data Error(s)",IF(B576=0,"Not Started",IF(B576&lt;1,ROUNDUP(B576*100,0)&amp;"% Done",IF(B576&gt;1,"Optional","Complete"))))</f>
        <v>Not Started</v>
      </c>
      <c r="C577" s="281"/>
      <c r="D577" s="281"/>
      <c r="E577" s="281"/>
      <c r="F577" s="281"/>
      <c r="G577" s="281"/>
      <c r="H577" s="215"/>
      <c r="I577" s="498"/>
      <c r="J577" s="498"/>
      <c r="K577" s="498"/>
      <c r="L577" s="498"/>
      <c r="M577" s="498"/>
      <c r="N577" s="498"/>
      <c r="O577" s="498"/>
      <c r="P577" s="498"/>
      <c r="Q577" s="498"/>
      <c r="R577" s="498"/>
      <c r="S577" s="498"/>
      <c r="T577" s="498"/>
      <c r="U577" s="498"/>
      <c r="V577" s="498"/>
      <c r="W577" s="498"/>
      <c r="X577" s="153"/>
      <c r="Y577" s="194"/>
    </row>
    <row r="578" spans="1:25" ht="21.95" customHeight="1" x14ac:dyDescent="0.2">
      <c r="A578" s="290" t="s">
        <v>3761</v>
      </c>
      <c r="B578" s="282" t="str">
        <f ca="1">IF(B575&gt;0,0,IF(B576&lt;1,"",2))</f>
        <v/>
      </c>
      <c r="C578" s="281"/>
      <c r="D578" s="281"/>
      <c r="E578" s="281"/>
      <c r="F578" s="281"/>
      <c r="G578" s="281"/>
      <c r="H578" s="215"/>
      <c r="I578" s="499" t="s">
        <v>3934</v>
      </c>
      <c r="J578" s="499"/>
      <c r="K578" s="499"/>
      <c r="L578" s="499"/>
      <c r="M578" s="499"/>
      <c r="N578" s="499"/>
      <c r="O578" s="499"/>
      <c r="P578" s="499"/>
      <c r="Q578" s="499"/>
      <c r="R578" s="499"/>
      <c r="S578" s="499"/>
      <c r="T578" s="499"/>
      <c r="U578" s="499"/>
      <c r="V578" s="499"/>
      <c r="W578" s="499"/>
      <c r="X578" s="153"/>
      <c r="Y578" s="194"/>
    </row>
    <row r="579" spans="1:25" ht="21.95" customHeight="1" x14ac:dyDescent="0.2">
      <c r="A579" s="290" t="s">
        <v>3762</v>
      </c>
      <c r="B579" s="293" t="s">
        <v>3834</v>
      </c>
      <c r="C579" s="281"/>
      <c r="D579" s="281"/>
      <c r="E579" s="281"/>
      <c r="F579" s="281"/>
      <c r="G579" s="281"/>
      <c r="H579" s="215"/>
      <c r="I579" s="499"/>
      <c r="J579" s="499"/>
      <c r="K579" s="499"/>
      <c r="L579" s="499"/>
      <c r="M579" s="499"/>
      <c r="N579" s="499"/>
      <c r="O579" s="499"/>
      <c r="P579" s="499"/>
      <c r="Q579" s="499"/>
      <c r="R579" s="499"/>
      <c r="S579" s="499"/>
      <c r="T579" s="499"/>
      <c r="U579" s="499"/>
      <c r="V579" s="499"/>
      <c r="W579" s="499"/>
      <c r="Y579" s="194"/>
    </row>
    <row r="580" spans="1:25" ht="21.95" customHeight="1" x14ac:dyDescent="0.2">
      <c r="A580" s="294" t="s">
        <v>3763</v>
      </c>
      <c r="B580" s="282">
        <v>0</v>
      </c>
      <c r="C580" s="281" t="s">
        <v>2462</v>
      </c>
      <c r="D580" s="281"/>
      <c r="E580" s="281"/>
      <c r="F580" s="281"/>
      <c r="G580" s="281"/>
      <c r="H580" s="215"/>
      <c r="I580" s="456"/>
      <c r="J580" s="456"/>
      <c r="K580" s="456"/>
      <c r="L580" s="456"/>
      <c r="M580" s="456"/>
      <c r="N580" s="456"/>
      <c r="O580" s="456"/>
      <c r="P580" s="456"/>
      <c r="Q580" s="456"/>
      <c r="R580" s="456"/>
      <c r="S580" s="456"/>
      <c r="T580" s="456"/>
      <c r="U580" s="456"/>
      <c r="V580" s="456"/>
      <c r="W580" s="456"/>
      <c r="X580" s="153"/>
      <c r="Y580" s="194"/>
    </row>
    <row r="581" spans="1:25" ht="21.95" customHeight="1" x14ac:dyDescent="0.2">
      <c r="A581" s="294" t="s">
        <v>3764</v>
      </c>
      <c r="B581" s="282" t="b">
        <f>(B580&gt;0)</f>
        <v>0</v>
      </c>
      <c r="C581" s="281"/>
      <c r="D581" s="281"/>
      <c r="E581" s="281"/>
      <c r="F581" s="281"/>
      <c r="G581" s="281"/>
      <c r="H581" s="215"/>
      <c r="I581" s="490"/>
      <c r="J581" s="491"/>
      <c r="K581" s="491"/>
      <c r="L581" s="491"/>
      <c r="M581" s="491"/>
      <c r="N581" s="491"/>
      <c r="O581" s="491"/>
      <c r="P581" s="491"/>
      <c r="Q581" s="491"/>
      <c r="R581" s="491"/>
      <c r="S581" s="491"/>
      <c r="T581" s="491"/>
      <c r="U581" s="491"/>
      <c r="V581" s="491"/>
      <c r="W581" s="492"/>
      <c r="X581" s="165">
        <f ca="1">G353</f>
        <v>1</v>
      </c>
      <c r="Y581" s="194"/>
    </row>
    <row r="582" spans="1:25" ht="21.95" customHeight="1" x14ac:dyDescent="0.2">
      <c r="A582" s="440" t="s">
        <v>3875</v>
      </c>
      <c r="B582" s="282">
        <v>12</v>
      </c>
      <c r="C582" s="281"/>
      <c r="D582" s="281"/>
      <c r="E582" s="281"/>
      <c r="F582" s="281"/>
      <c r="G582" s="281"/>
      <c r="H582" s="215"/>
      <c r="I582" s="215"/>
      <c r="J582" s="153"/>
      <c r="K582" s="215"/>
      <c r="L582" s="153"/>
      <c r="M582" s="215"/>
      <c r="N582" s="153"/>
      <c r="O582" s="215"/>
      <c r="P582" s="153"/>
      <c r="Q582" s="215"/>
      <c r="R582" s="153"/>
      <c r="S582" s="215"/>
      <c r="T582" s="153"/>
      <c r="U582" s="215"/>
      <c r="V582" s="153"/>
      <c r="W582" s="215"/>
      <c r="X582" s="153"/>
      <c r="Y582" s="194"/>
    </row>
    <row r="583" spans="1:25" ht="21.95" customHeight="1" x14ac:dyDescent="0.2">
      <c r="A583" s="440" t="s">
        <v>3876</v>
      </c>
      <c r="B583" s="282">
        <f ca="1">DATA_SCORE_SPU_FINAL</f>
        <v>0</v>
      </c>
      <c r="C583" s="281"/>
      <c r="D583" s="281"/>
      <c r="E583" s="281"/>
      <c r="F583" s="281"/>
      <c r="G583" s="281"/>
      <c r="H583" s="215"/>
      <c r="I583" s="226" t="s">
        <v>3452</v>
      </c>
      <c r="J583" s="153"/>
      <c r="K583" s="194"/>
      <c r="L583" s="153"/>
      <c r="M583" s="194"/>
      <c r="N583" s="153"/>
      <c r="O583" s="194"/>
      <c r="P583" s="153"/>
      <c r="Q583" s="194"/>
      <c r="R583" s="153"/>
      <c r="S583" s="194"/>
      <c r="T583" s="153"/>
      <c r="U583" s="194"/>
      <c r="V583" s="153"/>
      <c r="W583" s="316"/>
      <c r="X583" s="165">
        <f ca="1">G354</f>
        <v>1</v>
      </c>
      <c r="Y583" s="194"/>
    </row>
    <row r="584" spans="1:25" ht="21.95" customHeight="1" x14ac:dyDescent="0.2">
      <c r="A584" s="440" t="s">
        <v>3877</v>
      </c>
      <c r="B584" s="282" t="str">
        <f>SUBSTITUTE(CONFIG_POINT_HEADER_TEMPLATE,"[MAX]",B582)</f>
        <v>(Maximum Points: 12)</v>
      </c>
      <c r="C584" s="281"/>
      <c r="D584" s="281"/>
      <c r="E584" s="281"/>
      <c r="F584" s="281"/>
      <c r="G584" s="281"/>
      <c r="H584" s="215"/>
      <c r="I584" s="252"/>
      <c r="J584" s="153"/>
      <c r="K584" s="194"/>
      <c r="L584" s="153"/>
      <c r="M584" s="194"/>
      <c r="N584" s="153"/>
      <c r="O584" s="194"/>
      <c r="P584" s="153"/>
      <c r="Q584" s="194"/>
      <c r="R584" s="153"/>
      <c r="S584" s="194"/>
      <c r="T584" s="153"/>
      <c r="U584" s="215"/>
      <c r="V584" s="153"/>
      <c r="W584" s="215"/>
      <c r="X584" s="153"/>
      <c r="Y584" s="194"/>
    </row>
    <row r="585" spans="1:25" ht="21.95" customHeight="1" x14ac:dyDescent="0.2">
      <c r="A585" s="440" t="s">
        <v>3878</v>
      </c>
      <c r="B585" s="441" t="str">
        <f ca="1">SUBSTITUTE(CONFIG_SCORE_SUBHEADER_TEMPLATE,"[SCORE]",ROUND(B583,2))</f>
        <v>Estimated Score: 0</v>
      </c>
      <c r="C585" s="281"/>
      <c r="D585" s="281"/>
      <c r="E585" s="281"/>
      <c r="F585" s="281"/>
      <c r="G585" s="281"/>
      <c r="H585" s="215"/>
      <c r="I585" s="585" t="s">
        <v>3251</v>
      </c>
      <c r="J585" s="586"/>
      <c r="K585" s="586"/>
      <c r="L585" s="586"/>
      <c r="M585" s="586"/>
      <c r="N585" s="586"/>
      <c r="O585" s="586"/>
      <c r="P585" s="586"/>
      <c r="Q585" s="586"/>
      <c r="R585" s="586"/>
      <c r="S585" s="586"/>
      <c r="T585" s="586"/>
      <c r="U585" s="586"/>
      <c r="V585" s="586"/>
      <c r="W585" s="586"/>
      <c r="X585" s="586"/>
      <c r="Y585" s="194"/>
    </row>
    <row r="586" spans="1:25" ht="21.95" customHeight="1" x14ac:dyDescent="0.2">
      <c r="A586" s="285" t="s">
        <v>3842</v>
      </c>
      <c r="B586" s="305" t="str">
        <f>C586</f>
        <v>Score Summary</v>
      </c>
      <c r="C586" s="287" t="s">
        <v>3853</v>
      </c>
      <c r="D586" s="287"/>
      <c r="E586" s="287"/>
      <c r="F586" s="287"/>
      <c r="G586" s="172" t="str">
        <f ca="1">B594</f>
        <v>Score Summary (Estimated Final Score: 0.00)</v>
      </c>
      <c r="H586" s="215"/>
      <c r="I586" s="515" t="s">
        <v>3252</v>
      </c>
      <c r="J586" s="516"/>
      <c r="K586" s="516"/>
      <c r="L586" s="516"/>
      <c r="M586" s="516"/>
      <c r="N586" s="516"/>
      <c r="O586" s="516"/>
      <c r="P586" s="516"/>
      <c r="Q586" s="517" t="s">
        <v>3253</v>
      </c>
      <c r="R586" s="518"/>
      <c r="S586" s="518"/>
      <c r="T586" s="518"/>
      <c r="U586" s="518"/>
      <c r="V586" s="518"/>
      <c r="W586" s="518"/>
      <c r="X586" s="519"/>
      <c r="Y586" s="194"/>
    </row>
    <row r="587" spans="1:25" ht="21.95" customHeight="1" x14ac:dyDescent="0.2">
      <c r="A587" s="290" t="s">
        <v>3843</v>
      </c>
      <c r="B587" s="282" t="str">
        <f>"C"&amp;MATCH(LEFT(A587,LEN(A587)-LEN("_RANGE")),A:A,0)+1&amp;":C"&amp;(ROW()-1)</f>
        <v>C587:C586</v>
      </c>
      <c r="C587" s="281"/>
      <c r="D587" s="281"/>
      <c r="E587" s="281"/>
      <c r="F587" s="281"/>
      <c r="G587" s="281"/>
      <c r="H587" s="215"/>
      <c r="I587" s="520"/>
      <c r="J587" s="521"/>
      <c r="K587" s="521"/>
      <c r="L587" s="521"/>
      <c r="M587" s="521"/>
      <c r="N587" s="521"/>
      <c r="O587" s="521"/>
      <c r="P587" s="182" t="str">
        <f ca="1">G355</f>
        <v/>
      </c>
      <c r="Q587" s="520"/>
      <c r="R587" s="521"/>
      <c r="S587" s="521"/>
      <c r="T587" s="521"/>
      <c r="U587" s="521"/>
      <c r="V587" s="521"/>
      <c r="W587" s="521"/>
      <c r="X587" s="182" t="str">
        <f ca="1">G356</f>
        <v/>
      </c>
      <c r="Y587" s="194"/>
    </row>
    <row r="588" spans="1:25" ht="21.95" customHeight="1" x14ac:dyDescent="0.2">
      <c r="A588" s="290" t="s">
        <v>3844</v>
      </c>
      <c r="B588" s="282">
        <f ca="1">COUNTIF(INDIRECT($B587),2)</f>
        <v>0</v>
      </c>
      <c r="C588" s="281"/>
      <c r="D588" s="281"/>
      <c r="E588" s="281"/>
      <c r="F588" s="281"/>
      <c r="G588" s="281"/>
      <c r="H588" s="215"/>
      <c r="I588" s="522" t="str">
        <f ca="1">D356</f>
        <v/>
      </c>
      <c r="J588" s="523"/>
      <c r="K588" s="523"/>
      <c r="L588" s="523"/>
      <c r="M588" s="523"/>
      <c r="N588" s="523"/>
      <c r="O588" s="523"/>
      <c r="P588" s="523"/>
      <c r="Q588" s="523"/>
      <c r="R588" s="523"/>
      <c r="S588" s="523"/>
      <c r="T588" s="523"/>
      <c r="U588" s="523"/>
      <c r="V588" s="523"/>
      <c r="W588" s="523"/>
      <c r="X588" s="523"/>
      <c r="Y588" s="194"/>
    </row>
    <row r="589" spans="1:25" ht="21.95" customHeight="1" x14ac:dyDescent="0.2">
      <c r="A589" s="290" t="s">
        <v>3845</v>
      </c>
      <c r="B589" s="282">
        <f ca="1">COUNTIF(INDIRECT($B587),0)+COUNTIF(INDIRECT($B587),1)+COUNTIF(INDIRECT($B587),2)</f>
        <v>0</v>
      </c>
      <c r="C589" s="281"/>
      <c r="D589" s="281"/>
      <c r="E589" s="281"/>
      <c r="F589" s="281"/>
      <c r="G589" s="281"/>
      <c r="H589" s="215"/>
      <c r="I589" s="252"/>
      <c r="J589" s="153"/>
      <c r="K589" s="194"/>
      <c r="L589" s="153"/>
      <c r="M589" s="194"/>
      <c r="N589" s="153"/>
      <c r="O589" s="194"/>
      <c r="P589" s="153"/>
      <c r="Q589" s="194"/>
      <c r="R589" s="153"/>
      <c r="S589" s="194"/>
      <c r="T589" s="153"/>
      <c r="U589" s="215"/>
      <c r="V589" s="153"/>
      <c r="W589" s="215"/>
      <c r="X589" s="153"/>
      <c r="Y589" s="194"/>
    </row>
    <row r="590" spans="1:25" ht="21.95" customHeight="1" x14ac:dyDescent="0.2">
      <c r="A590" s="290" t="s">
        <v>3846</v>
      </c>
      <c r="B590" s="282">
        <f ca="1">COUNTIF(INDIRECT($B587),0)</f>
        <v>0</v>
      </c>
      <c r="C590" s="281" t="s">
        <v>2607</v>
      </c>
      <c r="D590" s="281"/>
      <c r="E590" s="281"/>
      <c r="F590" s="281"/>
      <c r="G590" s="281"/>
      <c r="H590" s="215"/>
      <c r="I590" s="511" t="s">
        <v>3505</v>
      </c>
      <c r="J590" s="512"/>
      <c r="K590" s="512"/>
      <c r="L590" s="512"/>
      <c r="M590" s="512"/>
      <c r="N590" s="512"/>
      <c r="O590" s="512"/>
      <c r="P590" s="512"/>
      <c r="Q590" s="512"/>
      <c r="R590" s="512"/>
      <c r="S590" s="512"/>
      <c r="T590" s="512"/>
      <c r="U590" s="512"/>
      <c r="V590" s="512"/>
      <c r="W590" s="512"/>
      <c r="X590" s="512"/>
      <c r="Y590" s="194"/>
    </row>
    <row r="591" spans="1:25" ht="21.95" customHeight="1" x14ac:dyDescent="0.2">
      <c r="A591" s="290" t="s">
        <v>3847</v>
      </c>
      <c r="B591" s="291">
        <f ca="1">IFERROR(B588/B589,1.01)</f>
        <v>1.01</v>
      </c>
      <c r="C591" s="281"/>
      <c r="D591" s="281"/>
      <c r="E591" s="281"/>
      <c r="F591" s="281"/>
      <c r="G591" s="281"/>
      <c r="H591" s="215"/>
      <c r="I591" s="493" t="s">
        <v>3506</v>
      </c>
      <c r="J591" s="494"/>
      <c r="K591" s="494"/>
      <c r="L591" s="494"/>
      <c r="M591" s="494"/>
      <c r="N591" s="494"/>
      <c r="O591" s="494"/>
      <c r="P591" s="495"/>
      <c r="Q591" s="493" t="s">
        <v>3254</v>
      </c>
      <c r="R591" s="494"/>
      <c r="S591" s="494"/>
      <c r="T591" s="495"/>
      <c r="U591" s="575" t="s">
        <v>3256</v>
      </c>
      <c r="V591" s="576"/>
      <c r="W591" s="576"/>
      <c r="X591" s="576"/>
      <c r="Y591" s="194"/>
    </row>
    <row r="592" spans="1:25" ht="21.95" customHeight="1" x14ac:dyDescent="0.2">
      <c r="A592" s="290" t="s">
        <v>3848</v>
      </c>
      <c r="B592" s="292" t="str">
        <f ca="1">IF(B590&gt;0,"Data Error(s)",IF(B591=0,"Not Started",IF(B591&lt;1,ROUNDUP(B591*100,0)&amp;"% Done",IF(B591&gt;1,"Optional","Complete"))))</f>
        <v>Optional</v>
      </c>
      <c r="C592" s="281"/>
      <c r="D592" s="281"/>
      <c r="E592" s="281"/>
      <c r="F592" s="281"/>
      <c r="G592" s="281"/>
      <c r="H592" s="215"/>
      <c r="I592" s="581"/>
      <c r="J592" s="582"/>
      <c r="K592" s="582"/>
      <c r="L592" s="582"/>
      <c r="M592" s="582"/>
      <c r="N592" s="582"/>
      <c r="O592" s="582"/>
      <c r="P592" s="182" t="str">
        <f ca="1">G357</f>
        <v/>
      </c>
      <c r="Q592" s="526"/>
      <c r="R592" s="527"/>
      <c r="S592" s="527"/>
      <c r="T592" s="182" t="str">
        <f ca="1">G358</f>
        <v/>
      </c>
      <c r="U592" s="528"/>
      <c r="V592" s="529"/>
      <c r="W592" s="529"/>
      <c r="X592" s="182" t="str">
        <f ca="1">G360</f>
        <v/>
      </c>
      <c r="Y592" s="194"/>
    </row>
    <row r="593" spans="1:25" ht="21.95" customHeight="1" x14ac:dyDescent="0.2">
      <c r="A593" s="290" t="s">
        <v>3849</v>
      </c>
      <c r="B593" s="282">
        <f ca="1">IF(B590&gt;0,0,IF(B591&lt;1,"",2))</f>
        <v>2</v>
      </c>
      <c r="C593" s="281"/>
      <c r="D593" s="281"/>
      <c r="E593" s="281"/>
      <c r="F593" s="281"/>
      <c r="G593" s="281"/>
      <c r="H593" s="215"/>
      <c r="I593" s="583"/>
      <c r="J593" s="584"/>
      <c r="K593" s="584"/>
      <c r="L593" s="584"/>
      <c r="M593" s="584"/>
      <c r="N593" s="584"/>
      <c r="O593" s="584"/>
      <c r="P593" s="182" t="str">
        <f ca="1">G361</f>
        <v/>
      </c>
      <c r="Q593" s="526"/>
      <c r="R593" s="527"/>
      <c r="S593" s="527"/>
      <c r="T593" s="182" t="str">
        <f ca="1">G362</f>
        <v/>
      </c>
      <c r="U593" s="528"/>
      <c r="V593" s="529"/>
      <c r="W593" s="529"/>
      <c r="X593" s="182" t="str">
        <f ca="1">G364</f>
        <v/>
      </c>
      <c r="Y593" s="194"/>
    </row>
    <row r="594" spans="1:25" ht="21.95" customHeight="1" x14ac:dyDescent="0.2">
      <c r="A594" s="290" t="s">
        <v>3850</v>
      </c>
      <c r="B594" s="293" t="str">
        <f ca="1">C586&amp;" (Estimated Final Score: "&amp;TEXT(DATA_SCORE_SUM_FINAL,"0.00")&amp;")"</f>
        <v>Score Summary (Estimated Final Score: 0.00)</v>
      </c>
      <c r="C594" s="281"/>
      <c r="D594" s="281"/>
      <c r="E594" s="281"/>
      <c r="F594" s="281"/>
      <c r="G594" s="281"/>
      <c r="H594" s="215"/>
      <c r="I594" s="581"/>
      <c r="J594" s="582"/>
      <c r="K594" s="582"/>
      <c r="L594" s="582"/>
      <c r="M594" s="582"/>
      <c r="N594" s="582"/>
      <c r="O594" s="582"/>
      <c r="P594" s="182" t="str">
        <f ca="1">G365</f>
        <v/>
      </c>
      <c r="Q594" s="526"/>
      <c r="R594" s="527"/>
      <c r="S594" s="527"/>
      <c r="T594" s="182" t="str">
        <f ca="1">G366</f>
        <v/>
      </c>
      <c r="U594" s="528"/>
      <c r="V594" s="529"/>
      <c r="W594" s="529"/>
      <c r="X594" s="182" t="str">
        <f ca="1">G368</f>
        <v/>
      </c>
      <c r="Y594" s="194"/>
    </row>
    <row r="595" spans="1:25" ht="21.95" customHeight="1" x14ac:dyDescent="0.2">
      <c r="A595" s="294" t="s">
        <v>3851</v>
      </c>
      <c r="B595" s="282">
        <v>0</v>
      </c>
      <c r="C595" s="281" t="s">
        <v>2462</v>
      </c>
      <c r="D595" s="281"/>
      <c r="E595" s="281"/>
      <c r="F595" s="281"/>
      <c r="G595" s="281"/>
      <c r="H595" s="215"/>
      <c r="I595" s="253"/>
      <c r="J595" s="253"/>
      <c r="K595" s="253"/>
      <c r="L595" s="253"/>
      <c r="M595" s="253"/>
      <c r="N595" s="253"/>
      <c r="O595" s="253"/>
      <c r="P595" s="253"/>
      <c r="Q595" s="253"/>
      <c r="R595" s="253"/>
      <c r="S595" s="253"/>
      <c r="T595" s="254" t="s">
        <v>3348</v>
      </c>
      <c r="U595" s="524" t="str">
        <f ca="1">B370</f>
        <v/>
      </c>
      <c r="V595" s="525"/>
      <c r="W595" s="525"/>
      <c r="X595" s="183" t="str">
        <f ca="1">G370</f>
        <v/>
      </c>
      <c r="Y595" s="194"/>
    </row>
    <row r="596" spans="1:25" ht="21.95" customHeight="1" x14ac:dyDescent="0.2">
      <c r="A596" s="294" t="s">
        <v>3852</v>
      </c>
      <c r="B596" s="282" t="b">
        <f>(B595&gt;0)</f>
        <v>0</v>
      </c>
      <c r="C596" s="281"/>
      <c r="D596" s="281"/>
      <c r="E596" s="281"/>
      <c r="F596" s="281"/>
      <c r="G596" s="281"/>
      <c r="H596" s="215"/>
      <c r="I596" s="208"/>
      <c r="J596" s="208"/>
      <c r="K596" s="208"/>
      <c r="L596" s="208"/>
      <c r="M596" s="208"/>
      <c r="N596" s="208"/>
      <c r="O596" s="208"/>
      <c r="P596" s="208"/>
      <c r="Q596" s="208"/>
      <c r="R596" s="208"/>
      <c r="S596" s="208"/>
      <c r="T596" s="208"/>
      <c r="U596" s="522" t="str">
        <f ca="1">D370</f>
        <v/>
      </c>
      <c r="V596" s="523"/>
      <c r="W596" s="523"/>
      <c r="X596" s="523"/>
      <c r="Y596" s="194"/>
    </row>
    <row r="597" spans="1:25" ht="21.95" customHeight="1" thickBot="1" x14ac:dyDescent="0.25">
      <c r="A597" s="301"/>
      <c r="B597" s="302"/>
      <c r="C597" s="301"/>
      <c r="D597" s="301"/>
      <c r="E597" s="301"/>
      <c r="F597" s="301"/>
      <c r="G597" s="301"/>
      <c r="H597" s="215"/>
      <c r="I597" s="216" t="s">
        <v>3019</v>
      </c>
      <c r="J597" s="217"/>
      <c r="K597" s="223"/>
      <c r="L597" s="217"/>
      <c r="M597" s="223"/>
      <c r="N597" s="217"/>
      <c r="O597" s="223"/>
      <c r="P597" s="217"/>
      <c r="Q597" s="223"/>
      <c r="R597" s="217"/>
      <c r="S597" s="223"/>
      <c r="T597" s="217"/>
      <c r="U597" s="223"/>
      <c r="V597" s="217"/>
      <c r="W597" s="223"/>
      <c r="X597" s="153"/>
      <c r="Y597" s="194"/>
    </row>
    <row r="598" spans="1:25" ht="21.95" customHeight="1" thickTop="1" x14ac:dyDescent="0.2">
      <c r="A598" s="301"/>
      <c r="B598" s="302"/>
      <c r="C598" s="301"/>
      <c r="D598" s="301"/>
      <c r="E598" s="301"/>
      <c r="F598" s="301"/>
      <c r="G598" s="301"/>
      <c r="H598" s="215"/>
      <c r="I598" s="215"/>
      <c r="J598" s="153"/>
      <c r="K598" s="215"/>
      <c r="L598" s="153"/>
      <c r="M598" s="215"/>
      <c r="N598" s="153"/>
      <c r="O598" s="215"/>
      <c r="P598" s="153"/>
      <c r="Q598" s="215"/>
      <c r="R598" s="153"/>
      <c r="S598" s="215"/>
      <c r="T598" s="153"/>
      <c r="U598" s="215"/>
      <c r="V598" s="153"/>
      <c r="W598" s="215"/>
      <c r="X598" s="153"/>
      <c r="Y598" s="194"/>
    </row>
    <row r="599" spans="1:25" ht="21.95" customHeight="1" x14ac:dyDescent="0.2">
      <c r="A599" s="301"/>
      <c r="B599" s="302"/>
      <c r="C599" s="301"/>
      <c r="D599" s="301"/>
      <c r="E599" s="301"/>
      <c r="F599" s="301"/>
      <c r="G599" s="301"/>
      <c r="H599" s="215"/>
      <c r="I599" s="207" t="s">
        <v>3393</v>
      </c>
      <c r="J599" s="153"/>
      <c r="K599" s="215"/>
      <c r="L599" s="153"/>
      <c r="M599" s="215"/>
      <c r="N599" s="153"/>
      <c r="O599" s="466"/>
      <c r="P599" s="467"/>
      <c r="Q599" s="467"/>
      <c r="R599" s="467"/>
      <c r="S599" s="467"/>
      <c r="T599" s="467"/>
      <c r="U599" s="467"/>
      <c r="V599" s="467"/>
      <c r="W599" s="468"/>
      <c r="X599" s="165">
        <f ca="1">G376</f>
        <v>1</v>
      </c>
      <c r="Y599" s="194"/>
    </row>
    <row r="600" spans="1:25" ht="21.95" customHeight="1" x14ac:dyDescent="0.2">
      <c r="A600" s="301"/>
      <c r="B600" s="302"/>
      <c r="C600" s="301"/>
      <c r="D600" s="301"/>
      <c r="E600" s="301"/>
      <c r="F600" s="301"/>
      <c r="G600" s="301"/>
      <c r="H600" s="215"/>
      <c r="I600" s="194"/>
      <c r="J600" s="153"/>
      <c r="K600" s="194"/>
      <c r="L600" s="153"/>
      <c r="M600" s="194"/>
      <c r="N600" s="153"/>
      <c r="O600" s="194"/>
      <c r="P600" s="153"/>
      <c r="Q600" s="194"/>
      <c r="R600" s="153"/>
      <c r="S600" s="194"/>
      <c r="T600" s="153"/>
      <c r="U600" s="194"/>
      <c r="V600" s="153"/>
      <c r="W600" s="194"/>
      <c r="X600" s="153"/>
      <c r="Y600" s="194"/>
    </row>
    <row r="601" spans="1:25" ht="21.95" customHeight="1" x14ac:dyDescent="0.2">
      <c r="A601" s="301"/>
      <c r="B601" s="302"/>
      <c r="C601" s="301"/>
      <c r="D601" s="301"/>
      <c r="E601" s="301"/>
      <c r="F601" s="301"/>
      <c r="G601" s="301"/>
      <c r="H601" s="215"/>
      <c r="I601" s="499" t="s">
        <v>3652</v>
      </c>
      <c r="J601" s="498"/>
      <c r="K601" s="498"/>
      <c r="L601" s="498"/>
      <c r="M601" s="498"/>
      <c r="N601" s="498"/>
      <c r="O601" s="498"/>
      <c r="P601" s="498"/>
      <c r="Q601" s="498"/>
      <c r="R601" s="498"/>
      <c r="S601" s="498"/>
      <c r="T601" s="498"/>
      <c r="U601" s="498"/>
      <c r="V601" s="498"/>
      <c r="W601" s="498"/>
      <c r="X601" s="153"/>
      <c r="Y601" s="194"/>
    </row>
    <row r="602" spans="1:25" ht="21.95" customHeight="1" x14ac:dyDescent="0.2">
      <c r="A602" s="301"/>
      <c r="B602" s="302"/>
      <c r="C602" s="301"/>
      <c r="D602" s="301"/>
      <c r="E602" s="301"/>
      <c r="F602" s="301"/>
      <c r="G602" s="301"/>
      <c r="H602" s="215"/>
      <c r="I602" s="498"/>
      <c r="J602" s="498"/>
      <c r="K602" s="498"/>
      <c r="L602" s="498"/>
      <c r="M602" s="498"/>
      <c r="N602" s="498"/>
      <c r="O602" s="498"/>
      <c r="P602" s="498"/>
      <c r="Q602" s="498"/>
      <c r="R602" s="498"/>
      <c r="S602" s="498"/>
      <c r="T602" s="498"/>
      <c r="U602" s="498"/>
      <c r="V602" s="498"/>
      <c r="W602" s="498"/>
      <c r="X602" s="153"/>
      <c r="Y602" s="194"/>
    </row>
    <row r="603" spans="1:25" ht="21.95" customHeight="1" x14ac:dyDescent="0.2">
      <c r="A603" s="301"/>
      <c r="B603" s="302"/>
      <c r="C603" s="301"/>
      <c r="D603" s="301"/>
      <c r="E603" s="301"/>
      <c r="F603" s="301"/>
      <c r="G603" s="301"/>
      <c r="H603" s="215"/>
      <c r="I603" s="194"/>
      <c r="J603" s="153"/>
      <c r="K603" s="194"/>
      <c r="L603" s="153"/>
      <c r="M603" s="194"/>
      <c r="N603" s="153"/>
      <c r="O603" s="194"/>
      <c r="P603" s="153"/>
      <c r="Q603" s="194"/>
      <c r="R603" s="153"/>
      <c r="S603" s="194"/>
      <c r="T603" s="153"/>
      <c r="U603" s="194"/>
      <c r="V603" s="153"/>
      <c r="W603" s="194"/>
      <c r="X603" s="153"/>
      <c r="Y603" s="194"/>
    </row>
    <row r="604" spans="1:25" ht="21.95" customHeight="1" thickBot="1" x14ac:dyDescent="0.25">
      <c r="A604" s="301"/>
      <c r="B604" s="302"/>
      <c r="C604" s="301"/>
      <c r="D604" s="301"/>
      <c r="E604" s="301"/>
      <c r="F604" s="301"/>
      <c r="G604" s="301"/>
      <c r="H604" s="215"/>
      <c r="I604" s="424" t="str">
        <f>B391</f>
        <v>Housing for Homeless Households (Maximum Points: 6)</v>
      </c>
      <c r="J604" s="269"/>
      <c r="K604" s="269"/>
      <c r="L604" s="269"/>
      <c r="M604" s="269"/>
      <c r="N604" s="269"/>
      <c r="O604" s="269"/>
      <c r="P604" s="269"/>
      <c r="Q604" s="269"/>
      <c r="R604" s="269"/>
      <c r="S604" s="269"/>
      <c r="T604" s="269"/>
      <c r="U604" s="269"/>
      <c r="V604" s="269"/>
      <c r="W604" s="269"/>
      <c r="X604" s="167" t="str">
        <f ca="1">"Status: "&amp;$B$399</f>
        <v>Status: Not Started</v>
      </c>
      <c r="Y604" s="194"/>
    </row>
    <row r="605" spans="1:25" ht="21.95" customHeight="1" x14ac:dyDescent="0.2">
      <c r="A605" s="301"/>
      <c r="B605" s="302"/>
      <c r="C605" s="301"/>
      <c r="D605" s="301"/>
      <c r="E605" s="301"/>
      <c r="F605" s="301"/>
      <c r="G605" s="301"/>
      <c r="H605" s="215"/>
      <c r="I605" s="194"/>
      <c r="J605" s="153"/>
      <c r="K605" s="194"/>
      <c r="L605" s="153"/>
      <c r="M605" s="194"/>
      <c r="N605" s="153"/>
      <c r="O605" s="194"/>
      <c r="P605" s="153"/>
      <c r="Q605" s="194"/>
      <c r="R605" s="153"/>
      <c r="S605" s="194"/>
      <c r="T605" s="153"/>
      <c r="U605" s="194"/>
      <c r="V605" s="153"/>
      <c r="W605" s="194"/>
      <c r="X605" s="153"/>
      <c r="Y605" s="194"/>
    </row>
    <row r="606" spans="1:25" ht="114" customHeight="1" x14ac:dyDescent="0.2">
      <c r="A606" s="301"/>
      <c r="B606" s="302"/>
      <c r="C606" s="301"/>
      <c r="D606" s="301"/>
      <c r="E606" s="301"/>
      <c r="F606" s="301"/>
      <c r="G606" s="301"/>
      <c r="H606" s="215"/>
      <c r="I606" s="499" t="s">
        <v>3590</v>
      </c>
      <c r="J606" s="499"/>
      <c r="K606" s="499"/>
      <c r="L606" s="499"/>
      <c r="M606" s="499"/>
      <c r="N606" s="499"/>
      <c r="O606" s="499"/>
      <c r="P606" s="499"/>
      <c r="Q606" s="499"/>
      <c r="R606" s="499"/>
      <c r="S606" s="499"/>
      <c r="T606" s="499"/>
      <c r="U606" s="499"/>
      <c r="V606" s="499"/>
      <c r="W606" s="499"/>
      <c r="X606" s="153"/>
      <c r="Y606" s="194"/>
    </row>
    <row r="607" spans="1:25" ht="21.95" customHeight="1" x14ac:dyDescent="0.2">
      <c r="A607" s="301"/>
      <c r="B607" s="302"/>
      <c r="C607" s="301"/>
      <c r="D607" s="301"/>
      <c r="E607" s="301"/>
      <c r="F607" s="301"/>
      <c r="G607" s="301"/>
      <c r="H607" s="215"/>
      <c r="I607" s="551" t="s">
        <v>3591</v>
      </c>
      <c r="J607" s="551"/>
      <c r="K607" s="551"/>
      <c r="L607" s="551"/>
      <c r="M607" s="551"/>
      <c r="N607" s="551"/>
      <c r="O607" s="551"/>
      <c r="P607" s="551"/>
      <c r="Q607" s="551"/>
      <c r="R607" s="551"/>
      <c r="S607" s="551"/>
      <c r="T607" s="551"/>
      <c r="U607" s="551"/>
      <c r="V607" s="551"/>
      <c r="W607" s="551"/>
      <c r="X607" s="153"/>
      <c r="Y607" s="194"/>
    </row>
    <row r="608" spans="1:25" ht="105" customHeight="1" x14ac:dyDescent="0.2">
      <c r="A608" s="301"/>
      <c r="B608" s="302"/>
      <c r="C608" s="301"/>
      <c r="D608" s="301"/>
      <c r="E608" s="301"/>
      <c r="F608" s="301"/>
      <c r="G608" s="301"/>
      <c r="H608" s="215"/>
      <c r="I608" s="552" t="s">
        <v>3592</v>
      </c>
      <c r="J608" s="552"/>
      <c r="K608" s="552"/>
      <c r="L608" s="552"/>
      <c r="M608" s="552"/>
      <c r="N608" s="552"/>
      <c r="O608" s="552"/>
      <c r="P608" s="552"/>
      <c r="Q608" s="552"/>
      <c r="R608" s="552"/>
      <c r="S608" s="552"/>
      <c r="T608" s="552"/>
      <c r="U608" s="552"/>
      <c r="V608" s="552"/>
      <c r="W608" s="552"/>
      <c r="X608" s="153"/>
      <c r="Y608" s="194"/>
    </row>
    <row r="609" spans="1:25" ht="174.75" customHeight="1" x14ac:dyDescent="0.2">
      <c r="A609" s="301"/>
      <c r="B609" s="302"/>
      <c r="C609" s="301"/>
      <c r="D609" s="301"/>
      <c r="E609" s="301"/>
      <c r="F609" s="301"/>
      <c r="G609" s="301"/>
      <c r="H609" s="215"/>
      <c r="I609" s="553" t="s">
        <v>3593</v>
      </c>
      <c r="J609" s="553"/>
      <c r="K609" s="553"/>
      <c r="L609" s="553"/>
      <c r="M609" s="553"/>
      <c r="N609" s="553"/>
      <c r="O609" s="553"/>
      <c r="P609" s="553"/>
      <c r="Q609" s="553"/>
      <c r="R609" s="553"/>
      <c r="S609" s="553"/>
      <c r="T609" s="553"/>
      <c r="U609" s="553"/>
      <c r="V609" s="553"/>
      <c r="W609" s="553"/>
      <c r="X609" s="153"/>
      <c r="Y609" s="194"/>
    </row>
    <row r="610" spans="1:25" ht="245.25" customHeight="1" x14ac:dyDescent="0.2">
      <c r="A610" s="301"/>
      <c r="B610" s="302"/>
      <c r="C610" s="301"/>
      <c r="D610" s="301"/>
      <c r="E610" s="301"/>
      <c r="F610" s="301"/>
      <c r="G610" s="301"/>
      <c r="H610" s="215"/>
      <c r="I610" s="499" t="s">
        <v>3594</v>
      </c>
      <c r="J610" s="499"/>
      <c r="K610" s="499"/>
      <c r="L610" s="499"/>
      <c r="M610" s="499"/>
      <c r="N610" s="499"/>
      <c r="O610" s="499"/>
      <c r="P610" s="499"/>
      <c r="Q610" s="499"/>
      <c r="R610" s="499"/>
      <c r="S610" s="499"/>
      <c r="T610" s="499"/>
      <c r="U610" s="499"/>
      <c r="V610" s="499"/>
      <c r="W610" s="499"/>
      <c r="X610" s="153"/>
      <c r="Y610" s="194"/>
    </row>
    <row r="611" spans="1:25" ht="21.95" customHeight="1" x14ac:dyDescent="0.2">
      <c r="A611" s="301"/>
      <c r="B611" s="302"/>
      <c r="C611" s="301"/>
      <c r="D611" s="301"/>
      <c r="E611" s="301"/>
      <c r="F611" s="301"/>
      <c r="G611" s="301"/>
      <c r="H611" s="215"/>
      <c r="I611" s="194"/>
      <c r="J611" s="153"/>
      <c r="K611" s="194"/>
      <c r="L611" s="153"/>
      <c r="M611" s="194"/>
      <c r="N611" s="153"/>
      <c r="O611" s="194"/>
      <c r="P611" s="153"/>
      <c r="Q611" s="194"/>
      <c r="R611" s="153"/>
      <c r="S611" s="194"/>
      <c r="T611" s="153"/>
      <c r="U611" s="194"/>
      <c r="V611" s="153"/>
      <c r="W611" s="194"/>
      <c r="X611" s="153"/>
      <c r="Y611" s="194"/>
    </row>
    <row r="612" spans="1:25" ht="21.95" customHeight="1" x14ac:dyDescent="0.2">
      <c r="A612" s="301"/>
      <c r="B612" s="302"/>
      <c r="C612" s="301"/>
      <c r="D612" s="301"/>
      <c r="E612" s="301"/>
      <c r="F612" s="301"/>
      <c r="G612" s="301"/>
      <c r="H612" s="215"/>
      <c r="I612" s="499" t="s">
        <v>3031</v>
      </c>
      <c r="J612" s="498"/>
      <c r="K612" s="498"/>
      <c r="L612" s="498"/>
      <c r="M612" s="498"/>
      <c r="N612" s="498"/>
      <c r="O612" s="498"/>
      <c r="P612" s="498"/>
      <c r="Q612" s="498"/>
      <c r="R612" s="498"/>
      <c r="S612" s="498"/>
      <c r="T612" s="498"/>
      <c r="U612" s="498"/>
      <c r="V612" s="204"/>
      <c r="W612" s="230"/>
      <c r="X612" s="165">
        <f ca="1">G392</f>
        <v>1</v>
      </c>
      <c r="Y612" s="194"/>
    </row>
    <row r="613" spans="1:25" ht="21.95" customHeight="1" x14ac:dyDescent="0.2">
      <c r="A613" s="301"/>
      <c r="B613" s="302"/>
      <c r="C613" s="301"/>
      <c r="D613" s="301"/>
      <c r="E613" s="301"/>
      <c r="F613" s="301"/>
      <c r="G613" s="301"/>
      <c r="H613" s="215"/>
      <c r="I613" s="509" t="s">
        <v>3457</v>
      </c>
      <c r="J613" s="510"/>
      <c r="K613" s="510"/>
      <c r="L613" s="510"/>
      <c r="M613" s="510"/>
      <c r="N613" s="510"/>
      <c r="O613" s="510"/>
      <c r="P613" s="510"/>
      <c r="Q613" s="510"/>
      <c r="R613" s="510"/>
      <c r="S613" s="510"/>
      <c r="T613" s="193"/>
      <c r="U613" s="488" t="str">
        <f ca="1">D392</f>
        <v/>
      </c>
      <c r="V613" s="489"/>
      <c r="W613" s="489"/>
      <c r="X613" s="153"/>
      <c r="Y613" s="194"/>
    </row>
    <row r="614" spans="1:25" ht="21.95" customHeight="1" x14ac:dyDescent="0.2">
      <c r="A614" s="301"/>
      <c r="B614" s="302"/>
      <c r="C614" s="301"/>
      <c r="D614" s="301"/>
      <c r="E614" s="301"/>
      <c r="F614" s="301"/>
      <c r="G614" s="301"/>
      <c r="H614" s="215"/>
      <c r="I614" s="510"/>
      <c r="J614" s="510"/>
      <c r="K614" s="510"/>
      <c r="L614" s="510"/>
      <c r="M614" s="510"/>
      <c r="N614" s="510"/>
      <c r="O614" s="510"/>
      <c r="P614" s="510"/>
      <c r="Q614" s="510"/>
      <c r="R614" s="510"/>
      <c r="S614" s="510"/>
      <c r="T614" s="193"/>
      <c r="U614" s="193"/>
      <c r="V614" s="193"/>
      <c r="W614" s="193"/>
      <c r="X614" s="153"/>
      <c r="Y614" s="194"/>
    </row>
    <row r="615" spans="1:25" ht="21.95" customHeight="1" x14ac:dyDescent="0.2">
      <c r="A615" s="301"/>
      <c r="B615" s="302"/>
      <c r="C615" s="301"/>
      <c r="D615" s="301"/>
      <c r="E615" s="301"/>
      <c r="F615" s="301"/>
      <c r="G615" s="301"/>
      <c r="H615" s="215"/>
      <c r="I615" s="194"/>
      <c r="J615" s="153"/>
      <c r="K615" s="194"/>
      <c r="L615" s="153"/>
      <c r="M615" s="194"/>
      <c r="N615" s="153"/>
      <c r="O615" s="194"/>
      <c r="P615" s="153"/>
      <c r="Q615" s="194"/>
      <c r="R615" s="153"/>
      <c r="S615" s="194"/>
      <c r="T615" s="153"/>
      <c r="U615" s="194"/>
      <c r="V615" s="153"/>
      <c r="W615" s="194"/>
      <c r="X615" s="153"/>
      <c r="Y615" s="194"/>
    </row>
    <row r="616" spans="1:25" ht="21.95" customHeight="1" x14ac:dyDescent="0.2">
      <c r="A616" s="301"/>
      <c r="B616" s="302"/>
      <c r="C616" s="301"/>
      <c r="D616" s="301"/>
      <c r="E616" s="301"/>
      <c r="F616" s="301"/>
      <c r="G616" s="301"/>
      <c r="H616" s="215"/>
      <c r="I616" s="207" t="s">
        <v>3544</v>
      </c>
      <c r="J616" s="207"/>
      <c r="K616" s="207"/>
      <c r="L616" s="207"/>
      <c r="M616" s="207"/>
      <c r="N616" s="207"/>
      <c r="O616" s="207"/>
      <c r="P616" s="207"/>
      <c r="Q616" s="207"/>
      <c r="R616" s="207"/>
      <c r="S616" s="207"/>
      <c r="T616" s="207"/>
      <c r="U616" s="207"/>
      <c r="V616" s="207"/>
      <c r="W616" s="207"/>
      <c r="X616" s="153"/>
      <c r="Y616" s="194"/>
    </row>
    <row r="617" spans="1:25" ht="21.95" customHeight="1" x14ac:dyDescent="0.2">
      <c r="A617" s="301"/>
      <c r="B617" s="302"/>
      <c r="C617" s="301"/>
      <c r="D617" s="301"/>
      <c r="E617" s="301"/>
      <c r="F617" s="301"/>
      <c r="G617" s="301"/>
      <c r="H617" s="215"/>
      <c r="I617" s="207" t="s">
        <v>3545</v>
      </c>
      <c r="J617" s="207"/>
      <c r="K617" s="207"/>
      <c r="L617" s="207"/>
      <c r="M617" s="207"/>
      <c r="N617" s="207"/>
      <c r="O617" s="207"/>
      <c r="P617" s="207"/>
      <c r="Q617" s="207"/>
      <c r="R617" s="207"/>
      <c r="S617" s="207"/>
      <c r="T617" s="207"/>
      <c r="U617" s="207"/>
      <c r="V617" s="207"/>
      <c r="W617" s="175" t="str">
        <f>SUBSTITUTE(SUBSTITUTE(SUBSTITUTE(IF(LEN(B393)&gt;F393,CONFIG_CHAR_LIMIT_TEMPLATE_ERR,CONFIG_CHAR_LIMIT_TEMPLATE),"[diff]",ABS(LEN(B393)-F393)),"[limit]",F393),"[used]",LEN(B393))</f>
        <v>2000 character(s) remaining</v>
      </c>
      <c r="X617" s="153"/>
      <c r="Y617" s="194"/>
    </row>
    <row r="618" spans="1:25" ht="21.95" customHeight="1" x14ac:dyDescent="0.2">
      <c r="A618" s="301"/>
      <c r="B618" s="302"/>
      <c r="C618" s="301"/>
      <c r="D618" s="301"/>
      <c r="E618" s="301"/>
      <c r="F618" s="301"/>
      <c r="G618" s="301"/>
      <c r="H618" s="215"/>
      <c r="I618" s="500"/>
      <c r="J618" s="501"/>
      <c r="K618" s="501"/>
      <c r="L618" s="501"/>
      <c r="M618" s="501"/>
      <c r="N618" s="501"/>
      <c r="O618" s="501"/>
      <c r="P618" s="501"/>
      <c r="Q618" s="501"/>
      <c r="R618" s="501"/>
      <c r="S618" s="501"/>
      <c r="T618" s="501"/>
      <c r="U618" s="501"/>
      <c r="V618" s="501"/>
      <c r="W618" s="502"/>
      <c r="X618" s="165" t="str">
        <f ca="1">G393</f>
        <v/>
      </c>
      <c r="Y618" s="194"/>
    </row>
    <row r="619" spans="1:25" ht="21.95" customHeight="1" x14ac:dyDescent="0.2">
      <c r="A619" s="301"/>
      <c r="B619" s="302"/>
      <c r="C619" s="301"/>
      <c r="D619" s="301"/>
      <c r="E619" s="301"/>
      <c r="F619" s="301"/>
      <c r="G619" s="301"/>
      <c r="H619" s="215"/>
      <c r="I619" s="503"/>
      <c r="J619" s="504"/>
      <c r="K619" s="504"/>
      <c r="L619" s="504"/>
      <c r="M619" s="504"/>
      <c r="N619" s="504"/>
      <c r="O619" s="504"/>
      <c r="P619" s="504"/>
      <c r="Q619" s="504"/>
      <c r="R619" s="504"/>
      <c r="S619" s="504"/>
      <c r="T619" s="504"/>
      <c r="U619" s="504"/>
      <c r="V619" s="504"/>
      <c r="W619" s="505"/>
      <c r="X619" s="153"/>
      <c r="Y619" s="194"/>
    </row>
    <row r="620" spans="1:25" ht="21.95" customHeight="1" x14ac:dyDescent="0.2">
      <c r="A620" s="301"/>
      <c r="B620" s="302"/>
      <c r="C620" s="301"/>
      <c r="D620" s="301"/>
      <c r="E620" s="301"/>
      <c r="F620" s="301"/>
      <c r="G620" s="301"/>
      <c r="H620" s="215"/>
      <c r="I620" s="503"/>
      <c r="J620" s="504"/>
      <c r="K620" s="504"/>
      <c r="L620" s="504"/>
      <c r="M620" s="504"/>
      <c r="N620" s="504"/>
      <c r="O620" s="504"/>
      <c r="P620" s="504"/>
      <c r="Q620" s="504"/>
      <c r="R620" s="504"/>
      <c r="S620" s="504"/>
      <c r="T620" s="504"/>
      <c r="U620" s="504"/>
      <c r="V620" s="504"/>
      <c r="W620" s="505"/>
      <c r="X620" s="153"/>
      <c r="Y620" s="194"/>
    </row>
    <row r="621" spans="1:25" ht="21.95" customHeight="1" x14ac:dyDescent="0.2">
      <c r="A621" s="301"/>
      <c r="B621" s="302"/>
      <c r="C621" s="301"/>
      <c r="D621" s="301"/>
      <c r="E621" s="301"/>
      <c r="F621" s="301"/>
      <c r="G621" s="301"/>
      <c r="H621" s="215"/>
      <c r="I621" s="503"/>
      <c r="J621" s="504"/>
      <c r="K621" s="504"/>
      <c r="L621" s="504"/>
      <c r="M621" s="504"/>
      <c r="N621" s="504"/>
      <c r="O621" s="504"/>
      <c r="P621" s="504"/>
      <c r="Q621" s="504"/>
      <c r="R621" s="504"/>
      <c r="S621" s="504"/>
      <c r="T621" s="504"/>
      <c r="U621" s="504"/>
      <c r="V621" s="504"/>
      <c r="W621" s="505"/>
      <c r="X621" s="153"/>
      <c r="Y621" s="194"/>
    </row>
    <row r="622" spans="1:25" ht="21.95" customHeight="1" x14ac:dyDescent="0.2">
      <c r="A622" s="301"/>
      <c r="B622" s="302"/>
      <c r="C622" s="301"/>
      <c r="D622" s="301"/>
      <c r="E622" s="301"/>
      <c r="F622" s="301"/>
      <c r="G622" s="301"/>
      <c r="H622" s="215"/>
      <c r="I622" s="503"/>
      <c r="J622" s="504"/>
      <c r="K622" s="504"/>
      <c r="L622" s="504"/>
      <c r="M622" s="504"/>
      <c r="N622" s="504"/>
      <c r="O622" s="504"/>
      <c r="P622" s="504"/>
      <c r="Q622" s="504"/>
      <c r="R622" s="504"/>
      <c r="S622" s="504"/>
      <c r="T622" s="504"/>
      <c r="U622" s="504"/>
      <c r="V622" s="504"/>
      <c r="W622" s="505"/>
      <c r="X622" s="153"/>
      <c r="Y622" s="194"/>
    </row>
    <row r="623" spans="1:25" ht="21.95" customHeight="1" x14ac:dyDescent="0.2">
      <c r="A623" s="301"/>
      <c r="B623" s="302"/>
      <c r="C623" s="301"/>
      <c r="D623" s="301"/>
      <c r="E623" s="301"/>
      <c r="F623" s="301"/>
      <c r="G623" s="301"/>
      <c r="H623" s="215"/>
      <c r="I623" s="503"/>
      <c r="J623" s="504"/>
      <c r="K623" s="504"/>
      <c r="L623" s="504"/>
      <c r="M623" s="504"/>
      <c r="N623" s="504"/>
      <c r="O623" s="504"/>
      <c r="P623" s="504"/>
      <c r="Q623" s="504"/>
      <c r="R623" s="504"/>
      <c r="S623" s="504"/>
      <c r="T623" s="504"/>
      <c r="U623" s="504"/>
      <c r="V623" s="504"/>
      <c r="W623" s="505"/>
      <c r="X623" s="153"/>
      <c r="Y623" s="194"/>
    </row>
    <row r="624" spans="1:25" ht="21.95" customHeight="1" x14ac:dyDescent="0.2">
      <c r="A624" s="301"/>
      <c r="B624" s="302"/>
      <c r="C624" s="301"/>
      <c r="D624" s="301"/>
      <c r="E624" s="301"/>
      <c r="F624" s="301"/>
      <c r="G624" s="301"/>
      <c r="H624" s="215"/>
      <c r="I624" s="503"/>
      <c r="J624" s="504"/>
      <c r="K624" s="504"/>
      <c r="L624" s="504"/>
      <c r="M624" s="504"/>
      <c r="N624" s="504"/>
      <c r="O624" s="504"/>
      <c r="P624" s="504"/>
      <c r="Q624" s="504"/>
      <c r="R624" s="504"/>
      <c r="S624" s="504"/>
      <c r="T624" s="504"/>
      <c r="U624" s="504"/>
      <c r="V624" s="504"/>
      <c r="W624" s="505"/>
      <c r="X624" s="153"/>
      <c r="Y624" s="194"/>
    </row>
    <row r="625" spans="1:25" ht="21.95" customHeight="1" x14ac:dyDescent="0.2">
      <c r="A625" s="301"/>
      <c r="B625" s="302"/>
      <c r="C625" s="301"/>
      <c r="D625" s="301"/>
      <c r="E625" s="301"/>
      <c r="F625" s="301"/>
      <c r="G625" s="301"/>
      <c r="H625" s="215"/>
      <c r="I625" s="503"/>
      <c r="J625" s="504"/>
      <c r="K625" s="504"/>
      <c r="L625" s="504"/>
      <c r="M625" s="504"/>
      <c r="N625" s="504"/>
      <c r="O625" s="504"/>
      <c r="P625" s="504"/>
      <c r="Q625" s="504"/>
      <c r="R625" s="504"/>
      <c r="S625" s="504"/>
      <c r="T625" s="504"/>
      <c r="U625" s="504"/>
      <c r="V625" s="504"/>
      <c r="W625" s="505"/>
      <c r="X625" s="153"/>
      <c r="Y625" s="194"/>
    </row>
    <row r="626" spans="1:25" ht="21.95" customHeight="1" x14ac:dyDescent="0.2">
      <c r="A626" s="301"/>
      <c r="B626" s="302"/>
      <c r="C626" s="301"/>
      <c r="D626" s="301"/>
      <c r="E626" s="301"/>
      <c r="F626" s="301"/>
      <c r="G626" s="301"/>
      <c r="H626" s="215"/>
      <c r="I626" s="506"/>
      <c r="J626" s="507"/>
      <c r="K626" s="507"/>
      <c r="L626" s="507"/>
      <c r="M626" s="507"/>
      <c r="N626" s="507"/>
      <c r="O626" s="507"/>
      <c r="P626" s="507"/>
      <c r="Q626" s="507"/>
      <c r="R626" s="507"/>
      <c r="S626" s="507"/>
      <c r="T626" s="507"/>
      <c r="U626" s="507"/>
      <c r="V626" s="507"/>
      <c r="W626" s="508"/>
      <c r="X626" s="153"/>
      <c r="Y626" s="194"/>
    </row>
    <row r="627" spans="1:25" ht="21.95" customHeight="1" x14ac:dyDescent="0.2">
      <c r="A627" s="301"/>
      <c r="B627" s="302"/>
      <c r="C627" s="301"/>
      <c r="D627" s="301"/>
      <c r="E627" s="301"/>
      <c r="F627" s="301"/>
      <c r="G627" s="301"/>
      <c r="H627" s="215"/>
      <c r="I627" s="194"/>
      <c r="J627" s="153"/>
      <c r="K627" s="194"/>
      <c r="L627" s="153"/>
      <c r="M627" s="194"/>
      <c r="N627" s="153"/>
      <c r="O627" s="194"/>
      <c r="P627" s="153"/>
      <c r="Q627" s="194"/>
      <c r="R627" s="153"/>
      <c r="S627" s="194"/>
      <c r="T627" s="153"/>
      <c r="U627" s="194"/>
      <c r="V627" s="153"/>
      <c r="W627" s="194"/>
      <c r="X627" s="153"/>
      <c r="Y627" s="194"/>
    </row>
    <row r="628" spans="1:25" ht="21.95" customHeight="1" thickBot="1" x14ac:dyDescent="0.25">
      <c r="A628" s="301"/>
      <c r="B628" s="302"/>
      <c r="C628" s="301"/>
      <c r="D628" s="301"/>
      <c r="E628" s="301"/>
      <c r="F628" s="301"/>
      <c r="G628" s="301"/>
      <c r="H628" s="215"/>
      <c r="I628" s="424" t="str">
        <f>B429</f>
        <v>Housing for Special Needs Populations (Maximum Points: 5)</v>
      </c>
      <c r="J628" s="269"/>
      <c r="K628" s="269"/>
      <c r="L628" s="269"/>
      <c r="M628" s="269"/>
      <c r="N628" s="269"/>
      <c r="O628" s="269"/>
      <c r="P628" s="269"/>
      <c r="Q628" s="269"/>
      <c r="R628" s="269"/>
      <c r="S628" s="269"/>
      <c r="T628" s="269"/>
      <c r="U628" s="269"/>
      <c r="V628" s="269"/>
      <c r="W628" s="269"/>
      <c r="X628" s="167" t="str">
        <f ca="1">"Status: "&amp;$B$441</f>
        <v>Status: Not Started</v>
      </c>
      <c r="Y628" s="194"/>
    </row>
    <row r="629" spans="1:25" ht="21.95" customHeight="1" x14ac:dyDescent="0.2">
      <c r="A629" s="301"/>
      <c r="B629" s="302"/>
      <c r="C629" s="301"/>
      <c r="D629" s="301"/>
      <c r="E629" s="301"/>
      <c r="F629" s="301"/>
      <c r="G629" s="301"/>
      <c r="H629" s="215"/>
      <c r="I629" s="194"/>
      <c r="J629" s="153"/>
      <c r="K629" s="194"/>
      <c r="L629" s="153"/>
      <c r="M629" s="194"/>
      <c r="N629" s="153"/>
      <c r="O629" s="194"/>
      <c r="P629" s="153"/>
      <c r="Q629" s="194"/>
      <c r="R629" s="153"/>
      <c r="S629" s="194"/>
      <c r="T629" s="153"/>
      <c r="U629" s="194"/>
      <c r="V629" s="153"/>
      <c r="W629" s="194"/>
      <c r="X629" s="153"/>
      <c r="Y629" s="194"/>
    </row>
    <row r="630" spans="1:25" ht="21.95" customHeight="1" x14ac:dyDescent="0.2">
      <c r="A630" s="301"/>
      <c r="B630" s="302"/>
      <c r="C630" s="301"/>
      <c r="D630" s="301"/>
      <c r="E630" s="301"/>
      <c r="F630" s="301"/>
      <c r="G630" s="301"/>
      <c r="H630" s="215"/>
      <c r="I630" s="499" t="s">
        <v>3492</v>
      </c>
      <c r="J630" s="499"/>
      <c r="K630" s="499"/>
      <c r="L630" s="499"/>
      <c r="M630" s="499"/>
      <c r="N630" s="499"/>
      <c r="O630" s="499"/>
      <c r="P630" s="499"/>
      <c r="Q630" s="499"/>
      <c r="R630" s="499"/>
      <c r="S630" s="499"/>
      <c r="T630" s="499"/>
      <c r="U630" s="499"/>
      <c r="V630" s="499"/>
      <c r="W630" s="499"/>
      <c r="X630" s="153"/>
      <c r="Y630" s="194"/>
    </row>
    <row r="631" spans="1:25" ht="21.95" customHeight="1" x14ac:dyDescent="0.2">
      <c r="A631" s="301"/>
      <c r="B631" s="302"/>
      <c r="C631" s="301"/>
      <c r="D631" s="301"/>
      <c r="E631" s="301"/>
      <c r="F631" s="301"/>
      <c r="G631" s="301"/>
      <c r="H631" s="215"/>
      <c r="I631" s="499"/>
      <c r="J631" s="499"/>
      <c r="K631" s="499"/>
      <c r="L631" s="499"/>
      <c r="M631" s="499"/>
      <c r="N631" s="499"/>
      <c r="O631" s="499"/>
      <c r="P631" s="499"/>
      <c r="Q631" s="499"/>
      <c r="R631" s="499"/>
      <c r="S631" s="499"/>
      <c r="T631" s="499"/>
      <c r="U631" s="499"/>
      <c r="V631" s="499"/>
      <c r="W631" s="499"/>
      <c r="X631" s="153"/>
      <c r="Y631" s="194"/>
    </row>
    <row r="632" spans="1:25" ht="21.95" customHeight="1" x14ac:dyDescent="0.2">
      <c r="A632" s="301"/>
      <c r="B632" s="302"/>
      <c r="C632" s="301"/>
      <c r="D632" s="301"/>
      <c r="E632" s="301"/>
      <c r="F632" s="301"/>
      <c r="G632" s="301"/>
      <c r="H632" s="215"/>
      <c r="I632" s="194"/>
      <c r="J632" s="153"/>
      <c r="K632" s="194"/>
      <c r="L632" s="153"/>
      <c r="M632" s="194"/>
      <c r="N632" s="153"/>
      <c r="O632" s="194"/>
      <c r="P632" s="153"/>
      <c r="Q632" s="194"/>
      <c r="R632" s="153"/>
      <c r="S632" s="194"/>
      <c r="T632" s="153"/>
      <c r="U632" s="194"/>
      <c r="V632" s="153"/>
      <c r="W632" s="194"/>
      <c r="X632" s="153"/>
      <c r="Y632" s="194"/>
    </row>
    <row r="633" spans="1:25" ht="21.95" customHeight="1" x14ac:dyDescent="0.2">
      <c r="A633" s="301"/>
      <c r="B633" s="302"/>
      <c r="C633" s="301"/>
      <c r="D633" s="301"/>
      <c r="E633" s="301"/>
      <c r="F633" s="301"/>
      <c r="G633" s="301"/>
      <c r="H633" s="215"/>
      <c r="I633" s="565" t="s">
        <v>3091</v>
      </c>
      <c r="J633" s="566"/>
      <c r="K633" s="566"/>
      <c r="L633" s="566"/>
      <c r="M633" s="566"/>
      <c r="N633" s="566"/>
      <c r="O633" s="566"/>
      <c r="P633" s="566"/>
      <c r="Q633" s="566"/>
      <c r="R633" s="566"/>
      <c r="S633" s="566"/>
      <c r="T633" s="567" t="s">
        <v>326</v>
      </c>
      <c r="U633" s="568"/>
      <c r="V633" s="568"/>
      <c r="W633" s="568"/>
      <c r="X633" s="153"/>
      <c r="Y633" s="194"/>
    </row>
    <row r="634" spans="1:25" ht="21.95" customHeight="1" x14ac:dyDescent="0.2">
      <c r="A634" s="301"/>
      <c r="B634" s="302"/>
      <c r="C634" s="301"/>
      <c r="D634" s="301"/>
      <c r="E634" s="301"/>
      <c r="F634" s="301"/>
      <c r="G634" s="301"/>
      <c r="H634" s="215"/>
      <c r="I634" s="465" t="s">
        <v>3093</v>
      </c>
      <c r="J634" s="569"/>
      <c r="K634" s="569"/>
      <c r="L634" s="569"/>
      <c r="M634" s="569"/>
      <c r="N634" s="569"/>
      <c r="O634" s="569"/>
      <c r="P634" s="569"/>
      <c r="Q634" s="569"/>
      <c r="R634" s="569"/>
      <c r="S634" s="569"/>
      <c r="T634" s="513"/>
      <c r="U634" s="514"/>
      <c r="V634" s="514"/>
      <c r="W634" s="514"/>
      <c r="X634" s="165">
        <f ca="1">G430</f>
        <v>1</v>
      </c>
      <c r="Y634" s="194"/>
    </row>
    <row r="635" spans="1:25" ht="21.95" customHeight="1" x14ac:dyDescent="0.2">
      <c r="A635" s="301"/>
      <c r="B635" s="302"/>
      <c r="C635" s="301"/>
      <c r="D635" s="301"/>
      <c r="E635" s="301"/>
      <c r="F635" s="301"/>
      <c r="G635" s="301"/>
      <c r="H635" s="215"/>
      <c r="I635" s="465" t="s">
        <v>3094</v>
      </c>
      <c r="J635" s="569"/>
      <c r="K635" s="569"/>
      <c r="L635" s="569"/>
      <c r="M635" s="569"/>
      <c r="N635" s="569"/>
      <c r="O635" s="569"/>
      <c r="P635" s="569"/>
      <c r="Q635" s="569"/>
      <c r="R635" s="569"/>
      <c r="S635" s="569"/>
      <c r="T635" s="513"/>
      <c r="U635" s="514"/>
      <c r="V635" s="514"/>
      <c r="W635" s="514"/>
      <c r="X635" s="165">
        <f t="shared" ref="X635:X639" ca="1" si="72">G431</f>
        <v>1</v>
      </c>
      <c r="Y635" s="194"/>
    </row>
    <row r="636" spans="1:25" ht="21.95" customHeight="1" x14ac:dyDescent="0.2">
      <c r="A636" s="301"/>
      <c r="B636" s="302"/>
      <c r="C636" s="301"/>
      <c r="D636" s="301"/>
      <c r="E636" s="301"/>
      <c r="F636" s="301"/>
      <c r="G636" s="301"/>
      <c r="H636" s="215"/>
      <c r="I636" s="465" t="s">
        <v>3095</v>
      </c>
      <c r="J636" s="569"/>
      <c r="K636" s="569"/>
      <c r="L636" s="569"/>
      <c r="M636" s="569"/>
      <c r="N636" s="569"/>
      <c r="O636" s="569"/>
      <c r="P636" s="569"/>
      <c r="Q636" s="569"/>
      <c r="R636" s="569"/>
      <c r="S636" s="569"/>
      <c r="T636" s="513"/>
      <c r="U636" s="514"/>
      <c r="V636" s="514"/>
      <c r="W636" s="514"/>
      <c r="X636" s="165">
        <f t="shared" ca="1" si="72"/>
        <v>1</v>
      </c>
      <c r="Y636" s="194"/>
    </row>
    <row r="637" spans="1:25" ht="21.95" customHeight="1" x14ac:dyDescent="0.2">
      <c r="A637" s="301"/>
      <c r="B637" s="302"/>
      <c r="C637" s="301"/>
      <c r="D637" s="301"/>
      <c r="E637" s="301"/>
      <c r="F637" s="301"/>
      <c r="G637" s="301"/>
      <c r="H637" s="215"/>
      <c r="I637" s="465" t="s">
        <v>3096</v>
      </c>
      <c r="J637" s="569"/>
      <c r="K637" s="569"/>
      <c r="L637" s="569"/>
      <c r="M637" s="569"/>
      <c r="N637" s="569"/>
      <c r="O637" s="569"/>
      <c r="P637" s="569"/>
      <c r="Q637" s="569"/>
      <c r="R637" s="569"/>
      <c r="S637" s="569"/>
      <c r="T637" s="513"/>
      <c r="U637" s="514"/>
      <c r="V637" s="514"/>
      <c r="W637" s="514"/>
      <c r="X637" s="165">
        <f t="shared" ca="1" si="72"/>
        <v>1</v>
      </c>
      <c r="Y637" s="194"/>
    </row>
    <row r="638" spans="1:25" ht="21.95" customHeight="1" x14ac:dyDescent="0.2">
      <c r="A638" s="301"/>
      <c r="B638" s="302"/>
      <c r="C638" s="301"/>
      <c r="D638" s="301"/>
      <c r="E638" s="301"/>
      <c r="F638" s="301"/>
      <c r="G638" s="301"/>
      <c r="H638" s="215"/>
      <c r="I638" s="465" t="s">
        <v>3394</v>
      </c>
      <c r="J638" s="569"/>
      <c r="K638" s="569"/>
      <c r="L638" s="569"/>
      <c r="M638" s="569"/>
      <c r="N638" s="569"/>
      <c r="O638" s="569"/>
      <c r="P638" s="569"/>
      <c r="Q638" s="569"/>
      <c r="R638" s="569"/>
      <c r="S638" s="569"/>
      <c r="T638" s="513"/>
      <c r="U638" s="514"/>
      <c r="V638" s="514"/>
      <c r="W638" s="514"/>
      <c r="X638" s="165">
        <f t="shared" ca="1" si="72"/>
        <v>1</v>
      </c>
      <c r="Y638" s="194"/>
    </row>
    <row r="639" spans="1:25" ht="21.95" customHeight="1" x14ac:dyDescent="0.2">
      <c r="A639" s="301"/>
      <c r="B639" s="302"/>
      <c r="C639" s="301"/>
      <c r="D639" s="301"/>
      <c r="E639" s="301"/>
      <c r="F639" s="301"/>
      <c r="G639" s="301"/>
      <c r="H639" s="215"/>
      <c r="I639" s="194"/>
      <c r="J639" s="153"/>
      <c r="K639" s="194"/>
      <c r="L639" s="153"/>
      <c r="M639" s="194"/>
      <c r="N639" s="153"/>
      <c r="O639" s="194"/>
      <c r="P639" s="153"/>
      <c r="Q639" s="194"/>
      <c r="R639" s="153"/>
      <c r="S639" s="257" t="s">
        <v>3092</v>
      </c>
      <c r="T639" s="547" t="str">
        <f ca="1">B435</f>
        <v/>
      </c>
      <c r="U639" s="548"/>
      <c r="V639" s="548"/>
      <c r="W639" s="548"/>
      <c r="X639" s="165" t="str">
        <f t="shared" ca="1" si="72"/>
        <v/>
      </c>
      <c r="Y639" s="194"/>
    </row>
    <row r="640" spans="1:25" ht="21.95" customHeight="1" x14ac:dyDescent="0.2">
      <c r="A640" s="301"/>
      <c r="B640" s="302"/>
      <c r="C640" s="301"/>
      <c r="D640" s="301"/>
      <c r="E640" s="301"/>
      <c r="F640" s="301"/>
      <c r="G640" s="301"/>
      <c r="H640" s="215"/>
      <c r="I640" s="194"/>
      <c r="J640" s="153"/>
      <c r="K640" s="194"/>
      <c r="L640" s="153"/>
      <c r="M640" s="194"/>
      <c r="N640" s="153"/>
      <c r="O640" s="194"/>
      <c r="P640" s="153"/>
      <c r="Q640" s="194"/>
      <c r="R640" s="153"/>
      <c r="S640" s="194"/>
      <c r="T640" s="549" t="str">
        <f ca="1">D435</f>
        <v/>
      </c>
      <c r="U640" s="550"/>
      <c r="V640" s="550"/>
      <c r="W640" s="550"/>
      <c r="X640" s="153"/>
      <c r="Y640" s="194"/>
    </row>
    <row r="641" spans="1:25" ht="21.95" customHeight="1" x14ac:dyDescent="0.2">
      <c r="A641" s="301"/>
      <c r="B641" s="302"/>
      <c r="C641" s="301"/>
      <c r="D641" s="301"/>
      <c r="E641" s="301"/>
      <c r="F641" s="301"/>
      <c r="G641" s="301"/>
      <c r="H641" s="215"/>
      <c r="I641" s="194"/>
      <c r="J641" s="153"/>
      <c r="K641" s="194"/>
      <c r="L641" s="153"/>
      <c r="M641" s="194"/>
      <c r="N641" s="153"/>
      <c r="O641" s="194"/>
      <c r="P641" s="153"/>
      <c r="Q641" s="194"/>
      <c r="R641" s="153"/>
      <c r="S641" s="194"/>
      <c r="T641" s="153"/>
      <c r="U641" s="194"/>
      <c r="V641" s="153"/>
      <c r="W641" s="194"/>
      <c r="X641" s="153"/>
      <c r="Y641" s="194"/>
    </row>
    <row r="642" spans="1:25" ht="21.95" customHeight="1" thickBot="1" x14ac:dyDescent="0.25">
      <c r="A642" s="301"/>
      <c r="B642" s="302"/>
      <c r="C642" s="301"/>
      <c r="D642" s="301"/>
      <c r="E642" s="301"/>
      <c r="F642" s="301"/>
      <c r="G642" s="301"/>
      <c r="H642" s="215"/>
      <c r="I642" s="424" t="str">
        <f>B552</f>
        <v>Housing for Households Requiring Large Units (Maximum Points: 3)</v>
      </c>
      <c r="J642" s="269"/>
      <c r="K642" s="269"/>
      <c r="L642" s="269"/>
      <c r="M642" s="269"/>
      <c r="N642" s="269"/>
      <c r="O642" s="269"/>
      <c r="P642" s="269"/>
      <c r="Q642" s="269"/>
      <c r="R642" s="269"/>
      <c r="S642" s="269"/>
      <c r="T642" s="269"/>
      <c r="U642" s="269"/>
      <c r="V642" s="269"/>
      <c r="W642" s="269"/>
      <c r="X642" s="167" t="str">
        <f ca="1">"Status: "&amp;$B$559</f>
        <v>Status: Not Started</v>
      </c>
      <c r="Y642" s="194"/>
    </row>
    <row r="643" spans="1:25" ht="21.95" customHeight="1" x14ac:dyDescent="0.2">
      <c r="A643" s="301"/>
      <c r="B643" s="302"/>
      <c r="C643" s="301"/>
      <c r="D643" s="301"/>
      <c r="E643" s="301"/>
      <c r="F643" s="301"/>
      <c r="G643" s="301"/>
      <c r="H643" s="215"/>
      <c r="I643" s="194"/>
      <c r="J643" s="153"/>
      <c r="K643" s="194"/>
      <c r="L643" s="153"/>
      <c r="M643" s="194"/>
      <c r="N643" s="153"/>
      <c r="O643" s="194"/>
      <c r="P643" s="153"/>
      <c r="Q643" s="194"/>
      <c r="R643" s="153"/>
      <c r="S643" s="194"/>
      <c r="T643" s="153"/>
      <c r="U643" s="194"/>
      <c r="V643" s="153"/>
      <c r="W643" s="194"/>
      <c r="X643" s="153"/>
      <c r="Y643" s="194"/>
    </row>
    <row r="644" spans="1:25" ht="21.95" customHeight="1" x14ac:dyDescent="0.2">
      <c r="A644" s="301"/>
      <c r="B644" s="302"/>
      <c r="C644" s="301"/>
      <c r="D644" s="301"/>
      <c r="E644" s="301"/>
      <c r="F644" s="301"/>
      <c r="G644" s="301"/>
      <c r="H644" s="215"/>
      <c r="I644" s="499" t="s">
        <v>3935</v>
      </c>
      <c r="J644" s="499"/>
      <c r="K644" s="499"/>
      <c r="L644" s="499"/>
      <c r="M644" s="499"/>
      <c r="N644" s="499"/>
      <c r="O644" s="499"/>
      <c r="P644" s="499"/>
      <c r="Q644" s="499"/>
      <c r="R644" s="499"/>
      <c r="S644" s="499"/>
      <c r="T644" s="499"/>
      <c r="U644" s="499"/>
      <c r="V644" s="499"/>
      <c r="W644" s="499"/>
      <c r="X644" s="153"/>
      <c r="Y644" s="194"/>
    </row>
    <row r="645" spans="1:25" ht="21.95" customHeight="1" x14ac:dyDescent="0.2">
      <c r="A645" s="301"/>
      <c r="B645" s="302"/>
      <c r="C645" s="301"/>
      <c r="D645" s="301"/>
      <c r="E645" s="301"/>
      <c r="F645" s="301"/>
      <c r="G645" s="301"/>
      <c r="H645" s="215"/>
      <c r="I645" s="499"/>
      <c r="J645" s="499"/>
      <c r="K645" s="499"/>
      <c r="L645" s="499"/>
      <c r="M645" s="499"/>
      <c r="N645" s="499"/>
      <c r="O645" s="499"/>
      <c r="P645" s="499"/>
      <c r="Q645" s="499"/>
      <c r="R645" s="499"/>
      <c r="S645" s="499"/>
      <c r="T645" s="499"/>
      <c r="U645" s="499"/>
      <c r="V645" s="499"/>
      <c r="W645" s="499"/>
      <c r="X645" s="153"/>
      <c r="Y645" s="194"/>
    </row>
    <row r="646" spans="1:25" ht="21.95" customHeight="1" x14ac:dyDescent="0.2">
      <c r="A646" s="301"/>
      <c r="B646" s="302"/>
      <c r="C646" s="301"/>
      <c r="D646" s="301"/>
      <c r="E646" s="301"/>
      <c r="F646" s="301"/>
      <c r="G646" s="301"/>
      <c r="H646" s="215"/>
      <c r="I646" s="194"/>
      <c r="J646" s="153"/>
      <c r="K646" s="194"/>
      <c r="L646" s="153"/>
      <c r="M646" s="194"/>
      <c r="N646" s="153"/>
      <c r="O646" s="194"/>
      <c r="P646" s="153"/>
      <c r="Q646" s="194"/>
      <c r="R646" s="153"/>
      <c r="S646" s="194"/>
      <c r="T646" s="153"/>
      <c r="U646" s="194"/>
      <c r="V646" s="153"/>
      <c r="W646" s="194"/>
      <c r="X646" s="153"/>
      <c r="Y646" s="194"/>
    </row>
    <row r="647" spans="1:25" ht="21.95" customHeight="1" x14ac:dyDescent="0.2">
      <c r="A647" s="301"/>
      <c r="B647" s="302"/>
      <c r="C647" s="301"/>
      <c r="D647" s="301"/>
      <c r="E647" s="301"/>
      <c r="F647" s="301"/>
      <c r="G647" s="301"/>
      <c r="H647" s="215"/>
      <c r="I647" s="499" t="s">
        <v>3749</v>
      </c>
      <c r="J647" s="498"/>
      <c r="K647" s="498"/>
      <c r="L647" s="498"/>
      <c r="M647" s="498"/>
      <c r="N647" s="498"/>
      <c r="O647" s="498"/>
      <c r="P647" s="498"/>
      <c r="Q647" s="498"/>
      <c r="R647" s="498"/>
      <c r="S647" s="498"/>
      <c r="T647" s="498"/>
      <c r="U647" s="498"/>
      <c r="V647" s="153"/>
      <c r="W647" s="400"/>
      <c r="X647" s="165">
        <f ca="1">G553</f>
        <v>1</v>
      </c>
      <c r="Y647" s="194"/>
    </row>
    <row r="648" spans="1:25" ht="21.95" customHeight="1" x14ac:dyDescent="0.2">
      <c r="A648" s="301"/>
      <c r="B648" s="302"/>
      <c r="C648" s="301"/>
      <c r="D648" s="301"/>
      <c r="E648" s="301"/>
      <c r="F648" s="301"/>
      <c r="G648" s="301"/>
      <c r="H648" s="215"/>
      <c r="I648" s="194"/>
      <c r="J648" s="153"/>
      <c r="K648" s="194"/>
      <c r="L648" s="153"/>
      <c r="M648" s="194"/>
      <c r="N648" s="153"/>
      <c r="O648" s="194"/>
      <c r="P648" s="153"/>
      <c r="Q648" s="194"/>
      <c r="R648" s="153"/>
      <c r="S648" s="194"/>
      <c r="T648" s="153"/>
      <c r="U648" s="488" t="str">
        <f ca="1">D553</f>
        <v/>
      </c>
      <c r="V648" s="489"/>
      <c r="W648" s="489"/>
      <c r="X648" s="153"/>
      <c r="Y648" s="194"/>
    </row>
    <row r="649" spans="1:25" ht="21.95" customHeight="1" x14ac:dyDescent="0.2">
      <c r="A649" s="301"/>
      <c r="B649" s="302"/>
      <c r="C649" s="301"/>
      <c r="D649" s="301"/>
      <c r="E649" s="301"/>
      <c r="F649" s="301"/>
      <c r="G649" s="301"/>
      <c r="H649" s="215"/>
      <c r="I649" s="194"/>
      <c r="J649" s="153"/>
      <c r="K649" s="194"/>
      <c r="L649" s="153"/>
      <c r="M649" s="194"/>
      <c r="N649" s="153"/>
      <c r="O649" s="194"/>
      <c r="P649" s="153"/>
      <c r="Q649" s="194"/>
      <c r="R649" s="153"/>
      <c r="S649" s="194"/>
      <c r="T649" s="153"/>
      <c r="U649" s="194"/>
      <c r="V649" s="153"/>
      <c r="W649" s="194"/>
      <c r="X649" s="153"/>
      <c r="Y649" s="194"/>
    </row>
    <row r="650" spans="1:25" ht="21.95" customHeight="1" thickBot="1" x14ac:dyDescent="0.25">
      <c r="A650" s="301"/>
      <c r="B650" s="302"/>
      <c r="C650" s="301"/>
      <c r="D650" s="301"/>
      <c r="E650" s="301"/>
      <c r="F650" s="301"/>
      <c r="G650" s="301"/>
      <c r="H650" s="215"/>
      <c r="I650" s="424" t="str">
        <f>B450</f>
        <v>Housing in Rural Areas (Maximum Points: 5)</v>
      </c>
      <c r="J650" s="269"/>
      <c r="K650" s="269"/>
      <c r="L650" s="269"/>
      <c r="M650" s="269"/>
      <c r="N650" s="269"/>
      <c r="O650" s="269"/>
      <c r="P650" s="269"/>
      <c r="Q650" s="269"/>
      <c r="R650" s="269"/>
      <c r="S650" s="269"/>
      <c r="T650" s="269"/>
      <c r="U650" s="269"/>
      <c r="V650" s="269"/>
      <c r="W650" s="269"/>
      <c r="X650" s="167" t="str">
        <f ca="1">"Status: "&amp;$B$458</f>
        <v>Status: Not Started</v>
      </c>
      <c r="Y650" s="194"/>
    </row>
    <row r="651" spans="1:25" ht="21.95" customHeight="1" x14ac:dyDescent="0.2">
      <c r="A651" s="301"/>
      <c r="B651" s="302"/>
      <c r="C651" s="301"/>
      <c r="D651" s="301"/>
      <c r="E651" s="301"/>
      <c r="F651" s="301"/>
      <c r="G651" s="301"/>
      <c r="H651" s="215"/>
      <c r="I651" s="194"/>
      <c r="J651" s="153"/>
      <c r="K651" s="194"/>
      <c r="L651" s="153"/>
      <c r="M651" s="194"/>
      <c r="N651" s="153"/>
      <c r="O651" s="194"/>
      <c r="P651" s="153"/>
      <c r="Q651" s="194"/>
      <c r="R651" s="153"/>
      <c r="S651" s="194"/>
      <c r="T651" s="153"/>
      <c r="U651" s="194"/>
      <c r="V651" s="153"/>
      <c r="W651" s="194"/>
      <c r="X651" s="153"/>
      <c r="Y651" s="194"/>
    </row>
    <row r="652" spans="1:25" ht="21.95" customHeight="1" x14ac:dyDescent="0.2">
      <c r="A652" s="301"/>
      <c r="B652" s="302"/>
      <c r="C652" s="301"/>
      <c r="D652" s="301"/>
      <c r="E652" s="301"/>
      <c r="F652" s="301"/>
      <c r="G652" s="301"/>
      <c r="H652" s="215"/>
      <c r="I652" s="499" t="s">
        <v>3458</v>
      </c>
      <c r="J652" s="498"/>
      <c r="K652" s="498"/>
      <c r="L652" s="498"/>
      <c r="M652" s="498"/>
      <c r="N652" s="498"/>
      <c r="O652" s="498"/>
      <c r="P652" s="498"/>
      <c r="Q652" s="498"/>
      <c r="R652" s="498"/>
      <c r="S652" s="498"/>
      <c r="T652" s="498"/>
      <c r="U652" s="498"/>
      <c r="V652" s="498"/>
      <c r="W652" s="498"/>
      <c r="X652" s="153"/>
      <c r="Y652" s="194"/>
    </row>
    <row r="653" spans="1:25" ht="21.95" customHeight="1" x14ac:dyDescent="0.2">
      <c r="A653" s="301"/>
      <c r="B653" s="302"/>
      <c r="C653" s="301"/>
      <c r="D653" s="301"/>
      <c r="E653" s="301"/>
      <c r="F653" s="301"/>
      <c r="G653" s="301"/>
      <c r="H653" s="215"/>
      <c r="I653" s="498"/>
      <c r="J653" s="498"/>
      <c r="K653" s="498"/>
      <c r="L653" s="498"/>
      <c r="M653" s="498"/>
      <c r="N653" s="498"/>
      <c r="O653" s="498"/>
      <c r="P653" s="498"/>
      <c r="Q653" s="498"/>
      <c r="R653" s="498"/>
      <c r="S653" s="498"/>
      <c r="T653" s="498"/>
      <c r="U653" s="498"/>
      <c r="V653" s="498"/>
      <c r="W653" s="498"/>
      <c r="X653" s="153"/>
      <c r="Y653" s="194"/>
    </row>
    <row r="654" spans="1:25" ht="21.95" customHeight="1" x14ac:dyDescent="0.2">
      <c r="A654" s="301"/>
      <c r="B654" s="302"/>
      <c r="C654" s="301"/>
      <c r="D654" s="301"/>
      <c r="E654" s="301"/>
      <c r="F654" s="301"/>
      <c r="G654" s="301"/>
      <c r="H654" s="215"/>
      <c r="I654" s="243"/>
      <c r="J654" s="243"/>
      <c r="K654" s="243"/>
      <c r="L654" s="243"/>
      <c r="M654" s="243"/>
      <c r="N654" s="243"/>
      <c r="O654" s="243"/>
      <c r="P654" s="243"/>
      <c r="Q654" s="243"/>
      <c r="R654" s="243"/>
      <c r="S654" s="243"/>
      <c r="T654" s="243"/>
      <c r="U654" s="243"/>
      <c r="V654" s="243"/>
      <c r="W654" s="243"/>
      <c r="X654" s="153"/>
      <c r="Y654" s="194"/>
    </row>
    <row r="655" spans="1:25" ht="21.95" customHeight="1" x14ac:dyDescent="0.2">
      <c r="A655" s="301"/>
      <c r="B655" s="302"/>
      <c r="C655" s="301"/>
      <c r="D655" s="301"/>
      <c r="E655" s="301"/>
      <c r="F655" s="301"/>
      <c r="G655" s="301"/>
      <c r="H655" s="215"/>
      <c r="I655" s="226" t="s">
        <v>3115</v>
      </c>
      <c r="J655" s="153"/>
      <c r="K655" s="194"/>
      <c r="L655" s="153"/>
      <c r="M655" s="207" t="s">
        <v>3116</v>
      </c>
      <c r="N655" s="153"/>
      <c r="O655" s="215"/>
      <c r="P655" s="153"/>
      <c r="Q655" s="215"/>
      <c r="R655" s="153"/>
      <c r="S655" s="215"/>
      <c r="T655" s="153"/>
      <c r="U655" s="194"/>
      <c r="V655" s="153"/>
      <c r="W655" s="194"/>
      <c r="X655" s="153"/>
      <c r="Y655" s="194"/>
    </row>
    <row r="656" spans="1:25" ht="21.95" customHeight="1" x14ac:dyDescent="0.2">
      <c r="A656" s="301"/>
      <c r="B656" s="302"/>
      <c r="C656" s="301"/>
      <c r="D656" s="301"/>
      <c r="E656" s="301"/>
      <c r="F656" s="301"/>
      <c r="G656" s="301"/>
      <c r="H656" s="215"/>
      <c r="I656" s="482"/>
      <c r="J656" s="483"/>
      <c r="K656" s="484"/>
      <c r="L656" s="165">
        <f ca="1">G451</f>
        <v>1</v>
      </c>
      <c r="M656" s="466"/>
      <c r="N656" s="467"/>
      <c r="O656" s="467"/>
      <c r="P656" s="467"/>
      <c r="Q656" s="467"/>
      <c r="R656" s="467"/>
      <c r="S656" s="467"/>
      <c r="T656" s="467"/>
      <c r="U656" s="467"/>
      <c r="V656" s="467"/>
      <c r="W656" s="468"/>
      <c r="X656" s="165" t="str">
        <f ca="1">G452</f>
        <v/>
      </c>
      <c r="Y656" s="194"/>
    </row>
    <row r="657" spans="1:25" ht="21.95" customHeight="1" x14ac:dyDescent="0.2">
      <c r="A657" s="301"/>
      <c r="B657" s="302"/>
      <c r="C657" s="301"/>
      <c r="D657" s="301"/>
      <c r="E657" s="301"/>
      <c r="F657" s="301"/>
      <c r="G657" s="301"/>
      <c r="H657" s="215"/>
      <c r="I657" s="537" t="str">
        <f ca="1">D451</f>
        <v/>
      </c>
      <c r="J657" s="538"/>
      <c r="K657" s="538"/>
      <c r="L657" s="241"/>
      <c r="M657" s="194"/>
      <c r="N657" s="153"/>
      <c r="O657" s="194"/>
      <c r="P657" s="153"/>
      <c r="Q657" s="194"/>
      <c r="R657" s="153"/>
      <c r="S657" s="194"/>
      <c r="T657" s="153"/>
      <c r="U657" s="194"/>
      <c r="V657" s="153"/>
      <c r="W657" s="194"/>
      <c r="X657" s="153"/>
      <c r="Y657" s="194"/>
    </row>
    <row r="658" spans="1:25" ht="21.95" customHeight="1" x14ac:dyDescent="0.2">
      <c r="A658" s="301"/>
      <c r="B658" s="302"/>
      <c r="C658" s="301"/>
      <c r="D658" s="301"/>
      <c r="E658" s="301"/>
      <c r="F658" s="301"/>
      <c r="G658" s="301"/>
      <c r="H658" s="215"/>
      <c r="I658" s="362"/>
      <c r="J658" s="363"/>
      <c r="K658" s="363"/>
      <c r="L658" s="363"/>
      <c r="M658" s="194"/>
      <c r="N658" s="153"/>
      <c r="O658" s="194"/>
      <c r="P658" s="153"/>
      <c r="Q658" s="194"/>
      <c r="R658" s="153"/>
      <c r="S658" s="194"/>
      <c r="T658" s="153"/>
      <c r="U658" s="194"/>
      <c r="V658" s="153"/>
      <c r="W658" s="194"/>
      <c r="X658" s="153"/>
      <c r="Y658" s="194"/>
    </row>
    <row r="659" spans="1:25" ht="21.95" customHeight="1" thickBot="1" x14ac:dyDescent="0.25">
      <c r="A659" s="301"/>
      <c r="B659" s="302"/>
      <c r="C659" s="301"/>
      <c r="D659" s="301"/>
      <c r="E659" s="301"/>
      <c r="F659" s="301"/>
      <c r="G659" s="301"/>
      <c r="H659" s="215"/>
      <c r="I659" s="424" t="str">
        <f>B408</f>
        <v>Promotion of Empowerment (Maximum Points: 5)</v>
      </c>
      <c r="J659" s="269"/>
      <c r="K659" s="269"/>
      <c r="L659" s="269"/>
      <c r="M659" s="269"/>
      <c r="N659" s="269"/>
      <c r="O659" s="269"/>
      <c r="P659" s="269"/>
      <c r="Q659" s="269"/>
      <c r="R659" s="269"/>
      <c r="S659" s="269"/>
      <c r="T659" s="269"/>
      <c r="U659" s="269"/>
      <c r="V659" s="269"/>
      <c r="W659" s="269"/>
      <c r="X659" s="167" t="str">
        <f ca="1">"Status: "&amp;$B$420</f>
        <v>Status: Not Started</v>
      </c>
      <c r="Y659" s="194"/>
    </row>
    <row r="660" spans="1:25" ht="21.95" customHeight="1" x14ac:dyDescent="0.2">
      <c r="A660" s="301"/>
      <c r="B660" s="302"/>
      <c r="C660" s="301"/>
      <c r="D660" s="301"/>
      <c r="E660" s="301"/>
      <c r="F660" s="301"/>
      <c r="G660" s="301"/>
      <c r="H660" s="215"/>
      <c r="I660" s="194"/>
      <c r="J660" s="153"/>
      <c r="K660" s="194"/>
      <c r="L660" s="153"/>
      <c r="M660" s="194"/>
      <c r="N660" s="153"/>
      <c r="O660" s="194"/>
      <c r="P660" s="153"/>
      <c r="Q660" s="194"/>
      <c r="R660" s="153"/>
      <c r="S660" s="194"/>
      <c r="T660" s="153"/>
      <c r="U660" s="194"/>
      <c r="V660" s="153"/>
      <c r="W660" s="194"/>
      <c r="X660" s="153"/>
      <c r="Y660" s="194"/>
    </row>
    <row r="661" spans="1:25" ht="21.95" customHeight="1" x14ac:dyDescent="0.2">
      <c r="A661" s="301"/>
      <c r="B661" s="302"/>
      <c r="C661" s="301"/>
      <c r="D661" s="301"/>
      <c r="E661" s="301"/>
      <c r="F661" s="301"/>
      <c r="G661" s="301"/>
      <c r="H661" s="215"/>
      <c r="I661" s="563" t="s">
        <v>3937</v>
      </c>
      <c r="J661" s="563"/>
      <c r="K661" s="563"/>
      <c r="L661" s="563"/>
      <c r="M661" s="563"/>
      <c r="N661" s="563"/>
      <c r="O661" s="563"/>
      <c r="P661" s="563"/>
      <c r="Q661" s="563"/>
      <c r="R661" s="563"/>
      <c r="S661" s="563"/>
      <c r="T661" s="563"/>
      <c r="U661" s="563"/>
      <c r="V661" s="563"/>
      <c r="W661" s="563"/>
      <c r="X661" s="153"/>
      <c r="Y661" s="194"/>
    </row>
    <row r="662" spans="1:25" ht="21.95" customHeight="1" x14ac:dyDescent="0.2">
      <c r="A662" s="301"/>
      <c r="B662" s="302"/>
      <c r="C662" s="301"/>
      <c r="D662" s="301"/>
      <c r="E662" s="301"/>
      <c r="F662" s="301"/>
      <c r="G662" s="301"/>
      <c r="H662" s="215"/>
      <c r="I662" s="563"/>
      <c r="J662" s="563"/>
      <c r="K662" s="563"/>
      <c r="L662" s="563"/>
      <c r="M662" s="563"/>
      <c r="N662" s="563"/>
      <c r="O662" s="563"/>
      <c r="P662" s="563"/>
      <c r="Q662" s="563"/>
      <c r="R662" s="563"/>
      <c r="S662" s="563"/>
      <c r="T662" s="563"/>
      <c r="U662" s="563"/>
      <c r="V662" s="563"/>
      <c r="W662" s="563"/>
      <c r="X662" s="153"/>
      <c r="Y662" s="194"/>
    </row>
    <row r="663" spans="1:25" ht="21.95" customHeight="1" x14ac:dyDescent="0.2">
      <c r="A663" s="301"/>
      <c r="B663" s="302"/>
      <c r="C663" s="301"/>
      <c r="D663" s="301"/>
      <c r="E663" s="301"/>
      <c r="F663" s="301"/>
      <c r="G663" s="301"/>
      <c r="H663" s="215"/>
      <c r="I663" s="563"/>
      <c r="J663" s="563"/>
      <c r="K663" s="563"/>
      <c r="L663" s="563"/>
      <c r="M663" s="563"/>
      <c r="N663" s="563"/>
      <c r="O663" s="563"/>
      <c r="P663" s="563"/>
      <c r="Q663" s="563"/>
      <c r="R663" s="563"/>
      <c r="S663" s="563"/>
      <c r="T663" s="563"/>
      <c r="U663" s="563"/>
      <c r="V663" s="563"/>
      <c r="W663" s="563"/>
      <c r="X663" s="153"/>
      <c r="Y663" s="194"/>
    </row>
    <row r="664" spans="1:25" ht="21.95" customHeight="1" x14ac:dyDescent="0.2">
      <c r="A664" s="301"/>
      <c r="B664" s="302"/>
      <c r="C664" s="301"/>
      <c r="D664" s="301"/>
      <c r="E664" s="301"/>
      <c r="F664" s="301"/>
      <c r="G664" s="301"/>
      <c r="H664" s="215"/>
      <c r="I664" s="563"/>
      <c r="J664" s="563"/>
      <c r="K664" s="563"/>
      <c r="L664" s="563"/>
      <c r="M664" s="563"/>
      <c r="N664" s="563"/>
      <c r="O664" s="563"/>
      <c r="P664" s="563"/>
      <c r="Q664" s="563"/>
      <c r="R664" s="563"/>
      <c r="S664" s="563"/>
      <c r="T664" s="563"/>
      <c r="U664" s="563"/>
      <c r="V664" s="563"/>
      <c r="W664" s="563"/>
      <c r="X664" s="153"/>
      <c r="Y664" s="194"/>
    </row>
    <row r="665" spans="1:25" ht="21.95" customHeight="1" x14ac:dyDescent="0.2">
      <c r="A665" s="301"/>
      <c r="B665" s="302"/>
      <c r="C665" s="301"/>
      <c r="D665" s="301"/>
      <c r="E665" s="301"/>
      <c r="F665" s="301"/>
      <c r="G665" s="301"/>
      <c r="H665" s="215"/>
      <c r="I665" s="563"/>
      <c r="J665" s="563"/>
      <c r="K665" s="563"/>
      <c r="L665" s="563"/>
      <c r="M665" s="563"/>
      <c r="N665" s="563"/>
      <c r="O665" s="563"/>
      <c r="P665" s="563"/>
      <c r="Q665" s="563"/>
      <c r="R665" s="563"/>
      <c r="S665" s="563"/>
      <c r="T665" s="563"/>
      <c r="U665" s="563"/>
      <c r="V665" s="563"/>
      <c r="W665" s="563"/>
      <c r="X665" s="153"/>
      <c r="Y665" s="194"/>
    </row>
    <row r="666" spans="1:25" ht="21.95" customHeight="1" x14ac:dyDescent="0.2">
      <c r="A666" s="301"/>
      <c r="B666" s="302"/>
      <c r="C666" s="301"/>
      <c r="D666" s="301"/>
      <c r="E666" s="301"/>
      <c r="F666" s="301"/>
      <c r="G666" s="301"/>
      <c r="H666" s="215"/>
      <c r="I666" s="563"/>
      <c r="J666" s="563"/>
      <c r="K666" s="563"/>
      <c r="L666" s="563"/>
      <c r="M666" s="563"/>
      <c r="N666" s="563"/>
      <c r="O666" s="563"/>
      <c r="P666" s="563"/>
      <c r="Q666" s="563"/>
      <c r="R666" s="563"/>
      <c r="S666" s="563"/>
      <c r="T666" s="563"/>
      <c r="U666" s="563"/>
      <c r="V666" s="563"/>
      <c r="W666" s="563"/>
      <c r="X666" s="153"/>
      <c r="Y666" s="194"/>
    </row>
    <row r="667" spans="1:25" ht="21.95" customHeight="1" x14ac:dyDescent="0.2">
      <c r="A667" s="301"/>
      <c r="B667" s="302"/>
      <c r="C667" s="301"/>
      <c r="D667" s="301"/>
      <c r="E667" s="301"/>
      <c r="F667" s="301"/>
      <c r="G667" s="301"/>
      <c r="H667" s="215"/>
      <c r="I667" s="563"/>
      <c r="J667" s="563"/>
      <c r="K667" s="563"/>
      <c r="L667" s="563"/>
      <c r="M667" s="563"/>
      <c r="N667" s="563"/>
      <c r="O667" s="563"/>
      <c r="P667" s="563"/>
      <c r="Q667" s="563"/>
      <c r="R667" s="563"/>
      <c r="S667" s="563"/>
      <c r="T667" s="563"/>
      <c r="U667" s="563"/>
      <c r="V667" s="563"/>
      <c r="W667" s="563"/>
      <c r="X667" s="153"/>
      <c r="Y667" s="194"/>
    </row>
    <row r="668" spans="1:25" ht="21.95" customHeight="1" x14ac:dyDescent="0.2">
      <c r="A668" s="301"/>
      <c r="B668" s="302"/>
      <c r="C668" s="301"/>
      <c r="D668" s="301"/>
      <c r="E668" s="301"/>
      <c r="F668" s="301"/>
      <c r="G668" s="301"/>
      <c r="H668" s="215"/>
      <c r="I668" s="563"/>
      <c r="J668" s="563"/>
      <c r="K668" s="563"/>
      <c r="L668" s="563"/>
      <c r="M668" s="563"/>
      <c r="N668" s="563"/>
      <c r="O668" s="563"/>
      <c r="P668" s="563"/>
      <c r="Q668" s="563"/>
      <c r="R668" s="563"/>
      <c r="S668" s="563"/>
      <c r="T668" s="563"/>
      <c r="U668" s="563"/>
      <c r="V668" s="563"/>
      <c r="W668" s="563"/>
      <c r="X668" s="153"/>
      <c r="Y668" s="194"/>
    </row>
    <row r="669" spans="1:25" ht="21.95" customHeight="1" x14ac:dyDescent="0.2">
      <c r="A669" s="301"/>
      <c r="B669" s="302"/>
      <c r="C669" s="301"/>
      <c r="D669" s="301"/>
      <c r="E669" s="301"/>
      <c r="F669" s="301"/>
      <c r="G669" s="301"/>
      <c r="H669" s="215"/>
      <c r="I669" s="563"/>
      <c r="J669" s="563"/>
      <c r="K669" s="563"/>
      <c r="L669" s="563"/>
      <c r="M669" s="563"/>
      <c r="N669" s="563"/>
      <c r="O669" s="563"/>
      <c r="P669" s="563"/>
      <c r="Q669" s="563"/>
      <c r="R669" s="563"/>
      <c r="S669" s="563"/>
      <c r="T669" s="563"/>
      <c r="U669" s="563"/>
      <c r="V669" s="563"/>
      <c r="W669" s="563"/>
      <c r="X669" s="153"/>
      <c r="Y669" s="194"/>
    </row>
    <row r="670" spans="1:25" ht="21.95" customHeight="1" x14ac:dyDescent="0.2">
      <c r="A670" s="301"/>
      <c r="B670" s="302"/>
      <c r="C670" s="301"/>
      <c r="D670" s="301"/>
      <c r="E670" s="301"/>
      <c r="F670" s="301"/>
      <c r="G670" s="301"/>
      <c r="H670" s="215"/>
      <c r="I670" s="563"/>
      <c r="J670" s="563"/>
      <c r="K670" s="563"/>
      <c r="L670" s="563"/>
      <c r="M670" s="563"/>
      <c r="N670" s="563"/>
      <c r="O670" s="563"/>
      <c r="P670" s="563"/>
      <c r="Q670" s="563"/>
      <c r="R670" s="563"/>
      <c r="S670" s="563"/>
      <c r="T670" s="563"/>
      <c r="U670" s="563"/>
      <c r="V670" s="563"/>
      <c r="W670" s="563"/>
      <c r="X670" s="153"/>
      <c r="Y670" s="194"/>
    </row>
    <row r="671" spans="1:25" ht="21.95" customHeight="1" x14ac:dyDescent="0.2">
      <c r="A671" s="301"/>
      <c r="B671" s="302"/>
      <c r="C671" s="301"/>
      <c r="D671" s="301"/>
      <c r="E671" s="301"/>
      <c r="F671" s="301"/>
      <c r="G671" s="301"/>
      <c r="H671" s="215"/>
      <c r="I671" s="563"/>
      <c r="J671" s="563"/>
      <c r="K671" s="563"/>
      <c r="L671" s="563"/>
      <c r="M671" s="563"/>
      <c r="N671" s="563"/>
      <c r="O671" s="563"/>
      <c r="P671" s="563"/>
      <c r="Q671" s="563"/>
      <c r="R671" s="563"/>
      <c r="S671" s="563"/>
      <c r="T671" s="563"/>
      <c r="U671" s="563"/>
      <c r="V671" s="563"/>
      <c r="W671" s="563"/>
      <c r="X671" s="153"/>
      <c r="Y671" s="194"/>
    </row>
    <row r="672" spans="1:25" ht="21.95" customHeight="1" x14ac:dyDescent="0.2">
      <c r="A672" s="301"/>
      <c r="B672" s="302"/>
      <c r="C672" s="301"/>
      <c r="D672" s="301"/>
      <c r="E672" s="301"/>
      <c r="F672" s="301"/>
      <c r="G672" s="301"/>
      <c r="H672" s="215"/>
      <c r="I672" s="563"/>
      <c r="J672" s="563"/>
      <c r="K672" s="563"/>
      <c r="L672" s="563"/>
      <c r="M672" s="563"/>
      <c r="N672" s="563"/>
      <c r="O672" s="563"/>
      <c r="P672" s="563"/>
      <c r="Q672" s="563"/>
      <c r="R672" s="563"/>
      <c r="S672" s="563"/>
      <c r="T672" s="563"/>
      <c r="U672" s="563"/>
      <c r="V672" s="563"/>
      <c r="W672" s="563"/>
      <c r="X672" s="153"/>
      <c r="Y672" s="194"/>
    </row>
    <row r="673" spans="1:25" ht="21.95" customHeight="1" x14ac:dyDescent="0.2">
      <c r="A673" s="301"/>
      <c r="B673" s="302"/>
      <c r="C673" s="301"/>
      <c r="D673" s="301"/>
      <c r="E673" s="301"/>
      <c r="F673" s="301"/>
      <c r="G673" s="301"/>
      <c r="H673" s="215"/>
      <c r="I673" s="563"/>
      <c r="J673" s="563"/>
      <c r="K673" s="563"/>
      <c r="L673" s="563"/>
      <c r="M673" s="563"/>
      <c r="N673" s="563"/>
      <c r="O673" s="563"/>
      <c r="P673" s="563"/>
      <c r="Q673" s="563"/>
      <c r="R673" s="563"/>
      <c r="S673" s="563"/>
      <c r="T673" s="563"/>
      <c r="U673" s="563"/>
      <c r="V673" s="563"/>
      <c r="W673" s="563"/>
      <c r="X673" s="153"/>
      <c r="Y673" s="194"/>
    </row>
    <row r="674" spans="1:25" ht="21.95" customHeight="1" x14ac:dyDescent="0.2">
      <c r="A674" s="301"/>
      <c r="B674" s="302"/>
      <c r="C674" s="301"/>
      <c r="D674" s="301"/>
      <c r="E674" s="301"/>
      <c r="F674" s="301"/>
      <c r="G674" s="301"/>
      <c r="H674" s="215"/>
      <c r="I674" s="563"/>
      <c r="J674" s="563"/>
      <c r="K674" s="563"/>
      <c r="L674" s="563"/>
      <c r="M674" s="563"/>
      <c r="N674" s="563"/>
      <c r="O674" s="563"/>
      <c r="P674" s="563"/>
      <c r="Q674" s="563"/>
      <c r="R674" s="563"/>
      <c r="S674" s="563"/>
      <c r="T674" s="563"/>
      <c r="U674" s="563"/>
      <c r="V674" s="563"/>
      <c r="W674" s="563"/>
      <c r="X674" s="153"/>
      <c r="Y674" s="194"/>
    </row>
    <row r="675" spans="1:25" ht="21.95" customHeight="1" x14ac:dyDescent="0.2">
      <c r="A675" s="301"/>
      <c r="B675" s="302"/>
      <c r="C675" s="301"/>
      <c r="D675" s="301"/>
      <c r="E675" s="301"/>
      <c r="F675" s="301"/>
      <c r="G675" s="301"/>
      <c r="H675" s="215"/>
      <c r="I675" s="563"/>
      <c r="J675" s="563"/>
      <c r="K675" s="563"/>
      <c r="L675" s="563"/>
      <c r="M675" s="563"/>
      <c r="N675" s="563"/>
      <c r="O675" s="563"/>
      <c r="P675" s="563"/>
      <c r="Q675" s="563"/>
      <c r="R675" s="563"/>
      <c r="S675" s="563"/>
      <c r="T675" s="563"/>
      <c r="U675" s="563"/>
      <c r="V675" s="563"/>
      <c r="W675" s="563"/>
      <c r="X675" s="153"/>
      <c r="Y675" s="194"/>
    </row>
    <row r="676" spans="1:25" ht="21.95" customHeight="1" x14ac:dyDescent="0.2">
      <c r="A676" s="301"/>
      <c r="B676" s="302"/>
      <c r="C676" s="301"/>
      <c r="D676" s="301"/>
      <c r="E676" s="301"/>
      <c r="F676" s="301"/>
      <c r="G676" s="301"/>
      <c r="H676" s="215"/>
      <c r="I676" s="563"/>
      <c r="J676" s="563"/>
      <c r="K676" s="563"/>
      <c r="L676" s="563"/>
      <c r="M676" s="563"/>
      <c r="N676" s="563"/>
      <c r="O676" s="563"/>
      <c r="P676" s="563"/>
      <c r="Q676" s="563"/>
      <c r="R676" s="563"/>
      <c r="S676" s="563"/>
      <c r="T676" s="563"/>
      <c r="U676" s="563"/>
      <c r="V676" s="563"/>
      <c r="W676" s="563"/>
      <c r="X676" s="153"/>
      <c r="Y676" s="194"/>
    </row>
    <row r="677" spans="1:25" ht="21.95" customHeight="1" x14ac:dyDescent="0.2">
      <c r="A677" s="301"/>
      <c r="B677" s="302"/>
      <c r="C677" s="301"/>
      <c r="D677" s="301"/>
      <c r="E677" s="301"/>
      <c r="F677" s="301"/>
      <c r="G677" s="301"/>
      <c r="H677" s="215"/>
      <c r="I677" s="563"/>
      <c r="J677" s="563"/>
      <c r="K677" s="563"/>
      <c r="L677" s="563"/>
      <c r="M677" s="563"/>
      <c r="N677" s="563"/>
      <c r="O677" s="563"/>
      <c r="P677" s="563"/>
      <c r="Q677" s="563"/>
      <c r="R677" s="563"/>
      <c r="S677" s="563"/>
      <c r="T677" s="563"/>
      <c r="U677" s="563"/>
      <c r="V677" s="563"/>
      <c r="W677" s="563"/>
      <c r="X677" s="153"/>
      <c r="Y677" s="194"/>
    </row>
    <row r="678" spans="1:25" ht="21.95" customHeight="1" x14ac:dyDescent="0.2">
      <c r="A678" s="301"/>
      <c r="B678" s="302"/>
      <c r="C678" s="301"/>
      <c r="D678" s="301"/>
      <c r="E678" s="301"/>
      <c r="F678" s="301"/>
      <c r="G678" s="301"/>
      <c r="H678" s="215"/>
      <c r="I678" s="563"/>
      <c r="J678" s="563"/>
      <c r="K678" s="563"/>
      <c r="L678" s="563"/>
      <c r="M678" s="563"/>
      <c r="N678" s="563"/>
      <c r="O678" s="563"/>
      <c r="P678" s="563"/>
      <c r="Q678" s="563"/>
      <c r="R678" s="563"/>
      <c r="S678" s="563"/>
      <c r="T678" s="563"/>
      <c r="U678" s="563"/>
      <c r="V678" s="563"/>
      <c r="W678" s="563"/>
      <c r="X678" s="153"/>
      <c r="Y678" s="194"/>
    </row>
    <row r="679" spans="1:25" ht="21.95" customHeight="1" x14ac:dyDescent="0.2">
      <c r="A679" s="301"/>
      <c r="B679" s="302"/>
      <c r="C679" s="301"/>
      <c r="D679" s="301"/>
      <c r="E679" s="301"/>
      <c r="F679" s="301"/>
      <c r="G679" s="301"/>
      <c r="H679" s="215"/>
      <c r="I679" s="563"/>
      <c r="J679" s="563"/>
      <c r="K679" s="563"/>
      <c r="L679" s="563"/>
      <c r="M679" s="563"/>
      <c r="N679" s="563"/>
      <c r="O679" s="563"/>
      <c r="P679" s="563"/>
      <c r="Q679" s="563"/>
      <c r="R679" s="563"/>
      <c r="S679" s="563"/>
      <c r="T679" s="563"/>
      <c r="U679" s="563"/>
      <c r="V679" s="563"/>
      <c r="W679" s="563"/>
      <c r="X679" s="153"/>
      <c r="Y679" s="194"/>
    </row>
    <row r="680" spans="1:25" ht="21.95" customHeight="1" x14ac:dyDescent="0.2">
      <c r="A680" s="301"/>
      <c r="B680" s="302"/>
      <c r="C680" s="301"/>
      <c r="D680" s="301"/>
      <c r="E680" s="301"/>
      <c r="F680" s="301"/>
      <c r="G680" s="301"/>
      <c r="H680" s="215"/>
      <c r="I680" s="563"/>
      <c r="J680" s="563"/>
      <c r="K680" s="563"/>
      <c r="L680" s="563"/>
      <c r="M680" s="563"/>
      <c r="N680" s="563"/>
      <c r="O680" s="563"/>
      <c r="P680" s="563"/>
      <c r="Q680" s="563"/>
      <c r="R680" s="563"/>
      <c r="S680" s="563"/>
      <c r="T680" s="563"/>
      <c r="U680" s="563"/>
      <c r="V680" s="563"/>
      <c r="W680" s="563"/>
      <c r="X680" s="153"/>
      <c r="Y680" s="194"/>
    </row>
    <row r="681" spans="1:25" ht="21.95" customHeight="1" x14ac:dyDescent="0.2">
      <c r="A681" s="301"/>
      <c r="B681" s="302"/>
      <c r="C681" s="301"/>
      <c r="D681" s="301"/>
      <c r="E681" s="301"/>
      <c r="F681" s="301"/>
      <c r="G681" s="301"/>
      <c r="H681" s="215"/>
      <c r="I681" s="194"/>
      <c r="J681" s="153"/>
      <c r="K681" s="194"/>
      <c r="L681" s="153"/>
      <c r="M681" s="194"/>
      <c r="N681" s="153"/>
      <c r="O681" s="194"/>
      <c r="P681" s="153"/>
      <c r="Q681" s="194"/>
      <c r="R681" s="153"/>
      <c r="S681" s="194"/>
      <c r="T681" s="153"/>
      <c r="U681" s="194"/>
      <c r="V681" s="153"/>
      <c r="W681" s="194"/>
      <c r="X681" s="153"/>
      <c r="Y681" s="194"/>
    </row>
    <row r="682" spans="1:25" ht="21.95" customHeight="1" thickBot="1" x14ac:dyDescent="0.25">
      <c r="A682" s="301"/>
      <c r="B682" s="302"/>
      <c r="C682" s="301"/>
      <c r="D682" s="301"/>
      <c r="E682" s="301"/>
      <c r="F682" s="301"/>
      <c r="G682" s="301"/>
      <c r="H682" s="215"/>
      <c r="I682" s="216" t="s">
        <v>3057</v>
      </c>
      <c r="J682" s="217"/>
      <c r="K682" s="223"/>
      <c r="L682" s="217"/>
      <c r="M682" s="223"/>
      <c r="N682" s="217"/>
      <c r="O682" s="223"/>
      <c r="P682" s="217"/>
      <c r="Q682" s="255"/>
      <c r="R682" s="217"/>
      <c r="S682" s="223"/>
      <c r="T682" s="217"/>
      <c r="U682" s="223"/>
      <c r="V682" s="217"/>
      <c r="W682" s="223"/>
      <c r="X682" s="153"/>
      <c r="Y682" s="194"/>
    </row>
    <row r="683" spans="1:25" ht="21.95" customHeight="1" thickTop="1" x14ac:dyDescent="0.2">
      <c r="A683" s="301"/>
      <c r="B683" s="302"/>
      <c r="C683" s="301"/>
      <c r="D683" s="301"/>
      <c r="E683" s="301"/>
      <c r="F683" s="301"/>
      <c r="G683" s="301"/>
      <c r="H683" s="215"/>
      <c r="I683" s="194"/>
      <c r="J683" s="153"/>
      <c r="K683" s="194"/>
      <c r="L683" s="153"/>
      <c r="M683" s="194"/>
      <c r="N683" s="153"/>
      <c r="O683" s="194"/>
      <c r="P683" s="153"/>
      <c r="Q683" s="194"/>
      <c r="R683" s="153"/>
      <c r="S683" s="194"/>
      <c r="T683" s="153"/>
      <c r="U683" s="194"/>
      <c r="V683" s="153"/>
      <c r="W683" s="194"/>
      <c r="X683" s="153"/>
      <c r="Y683" s="194"/>
    </row>
    <row r="684" spans="1:25" ht="21.95" customHeight="1" x14ac:dyDescent="0.2">
      <c r="A684" s="301"/>
      <c r="B684" s="302"/>
      <c r="C684" s="301"/>
      <c r="D684" s="301"/>
      <c r="E684" s="301"/>
      <c r="F684" s="301"/>
      <c r="G684" s="301"/>
      <c r="H684" s="215"/>
      <c r="I684" s="237" t="s">
        <v>3700</v>
      </c>
      <c r="J684" s="153"/>
      <c r="K684" s="215"/>
      <c r="L684" s="153"/>
      <c r="M684" s="215"/>
      <c r="N684" s="153"/>
      <c r="O684" s="215"/>
      <c r="P684" s="153"/>
      <c r="Q684" s="215"/>
      <c r="R684" s="153"/>
      <c r="S684" s="215"/>
      <c r="T684" s="153"/>
      <c r="U684" s="215"/>
      <c r="V684" s="153"/>
      <c r="W684" s="316"/>
      <c r="X684" s="165">
        <f ca="1">G409</f>
        <v>1</v>
      </c>
      <c r="Y684" s="194"/>
    </row>
    <row r="685" spans="1:25" ht="21.95" customHeight="1" x14ac:dyDescent="0.2">
      <c r="A685" s="301"/>
      <c r="B685" s="302"/>
      <c r="C685" s="301"/>
      <c r="D685" s="301"/>
      <c r="E685" s="301"/>
      <c r="F685" s="301"/>
      <c r="G685" s="301"/>
      <c r="H685" s="215"/>
      <c r="I685" s="564" t="s">
        <v>3701</v>
      </c>
      <c r="J685" s="564"/>
      <c r="K685" s="564"/>
      <c r="L685" s="564"/>
      <c r="M685" s="564"/>
      <c r="N685" s="564"/>
      <c r="O685" s="564"/>
      <c r="P685" s="564"/>
      <c r="Q685" s="564"/>
      <c r="R685" s="564"/>
      <c r="S685" s="564"/>
      <c r="T685" s="564"/>
      <c r="U685" s="564"/>
      <c r="V685" s="564"/>
      <c r="W685" s="149"/>
      <c r="X685" s="153"/>
      <c r="Y685" s="194"/>
    </row>
    <row r="686" spans="1:25" ht="21.95" customHeight="1" x14ac:dyDescent="0.2">
      <c r="A686" s="301"/>
      <c r="B686" s="302"/>
      <c r="C686" s="301"/>
      <c r="D686" s="301"/>
      <c r="E686" s="301"/>
      <c r="F686" s="301"/>
      <c r="G686" s="301"/>
      <c r="H686" s="215"/>
      <c r="I686" s="564"/>
      <c r="J686" s="564"/>
      <c r="K686" s="564"/>
      <c r="L686" s="564"/>
      <c r="M686" s="564"/>
      <c r="N686" s="564"/>
      <c r="O686" s="564"/>
      <c r="P686" s="564"/>
      <c r="Q686" s="564"/>
      <c r="R686" s="564"/>
      <c r="S686" s="564"/>
      <c r="T686" s="564"/>
      <c r="U686" s="564"/>
      <c r="V686" s="564"/>
      <c r="W686" s="149"/>
      <c r="X686" s="153"/>
      <c r="Y686" s="194"/>
    </row>
    <row r="687" spans="1:25" ht="21.95" customHeight="1" x14ac:dyDescent="0.2">
      <c r="A687" s="301"/>
      <c r="B687" s="302"/>
      <c r="C687" s="301"/>
      <c r="D687" s="301"/>
      <c r="E687" s="301"/>
      <c r="F687" s="301"/>
      <c r="G687" s="301"/>
      <c r="H687" s="215"/>
      <c r="I687" s="564"/>
      <c r="J687" s="564"/>
      <c r="K687" s="564"/>
      <c r="L687" s="564"/>
      <c r="M687" s="564"/>
      <c r="N687" s="564"/>
      <c r="O687" s="564"/>
      <c r="P687" s="564"/>
      <c r="Q687" s="564"/>
      <c r="R687" s="564"/>
      <c r="S687" s="564"/>
      <c r="T687" s="564"/>
      <c r="U687" s="564"/>
      <c r="V687" s="564"/>
      <c r="W687" s="194"/>
      <c r="X687" s="153"/>
      <c r="Y687" s="194"/>
    </row>
    <row r="688" spans="1:25" ht="21.95" customHeight="1" x14ac:dyDescent="0.2">
      <c r="A688" s="301"/>
      <c r="B688" s="302"/>
      <c r="C688" s="301"/>
      <c r="D688" s="301"/>
      <c r="E688" s="301"/>
      <c r="F688" s="301"/>
      <c r="G688" s="301"/>
      <c r="H688" s="215"/>
      <c r="I688" s="237" t="s">
        <v>3702</v>
      </c>
      <c r="J688" s="153"/>
      <c r="K688" s="215"/>
      <c r="L688" s="153"/>
      <c r="M688" s="215"/>
      <c r="N688" s="153"/>
      <c r="O688" s="215"/>
      <c r="P688" s="153"/>
      <c r="Q688" s="215"/>
      <c r="R688" s="153"/>
      <c r="S688" s="215"/>
      <c r="T688" s="153"/>
      <c r="U688" s="215"/>
      <c r="V688" s="153"/>
      <c r="W688" s="316"/>
      <c r="X688" s="165">
        <f ca="1">G411</f>
        <v>1</v>
      </c>
      <c r="Y688" s="194"/>
    </row>
    <row r="689" spans="1:25" ht="21.95" customHeight="1" x14ac:dyDescent="0.2">
      <c r="A689" s="301"/>
      <c r="B689" s="302"/>
      <c r="C689" s="301"/>
      <c r="D689" s="301"/>
      <c r="E689" s="301"/>
      <c r="F689" s="301"/>
      <c r="G689" s="301"/>
      <c r="H689" s="215"/>
      <c r="I689" s="564" t="s">
        <v>3703</v>
      </c>
      <c r="J689" s="553"/>
      <c r="K689" s="553"/>
      <c r="L689" s="553"/>
      <c r="M689" s="553"/>
      <c r="N689" s="553"/>
      <c r="O689" s="553"/>
      <c r="P689" s="553"/>
      <c r="Q689" s="553"/>
      <c r="R689" s="553"/>
      <c r="S689" s="553"/>
      <c r="T689" s="553"/>
      <c r="U689" s="553"/>
      <c r="V689" s="553"/>
      <c r="W689" s="194"/>
      <c r="X689" s="153"/>
      <c r="Y689" s="194"/>
    </row>
    <row r="690" spans="1:25" ht="21.95" customHeight="1" x14ac:dyDescent="0.2">
      <c r="A690" s="301"/>
      <c r="B690" s="302"/>
      <c r="C690" s="301"/>
      <c r="D690" s="301"/>
      <c r="E690" s="301"/>
      <c r="F690" s="301"/>
      <c r="G690" s="301"/>
      <c r="H690" s="215"/>
      <c r="I690" s="553"/>
      <c r="J690" s="553"/>
      <c r="K690" s="553"/>
      <c r="L690" s="553"/>
      <c r="M690" s="553"/>
      <c r="N690" s="553"/>
      <c r="O690" s="553"/>
      <c r="P690" s="553"/>
      <c r="Q690" s="553"/>
      <c r="R690" s="553"/>
      <c r="S690" s="553"/>
      <c r="T690" s="553"/>
      <c r="U690" s="553"/>
      <c r="V690" s="553"/>
      <c r="W690" s="194"/>
      <c r="X690" s="153"/>
      <c r="Y690" s="194"/>
    </row>
    <row r="691" spans="1:25" ht="21.95" customHeight="1" x14ac:dyDescent="0.2">
      <c r="A691" s="301"/>
      <c r="B691" s="302"/>
      <c r="C691" s="301"/>
      <c r="D691" s="301"/>
      <c r="E691" s="301"/>
      <c r="F691" s="301"/>
      <c r="G691" s="301"/>
      <c r="H691" s="215"/>
      <c r="I691" s="553"/>
      <c r="J691" s="553"/>
      <c r="K691" s="553"/>
      <c r="L691" s="553"/>
      <c r="M691" s="553"/>
      <c r="N691" s="553"/>
      <c r="O691" s="553"/>
      <c r="P691" s="553"/>
      <c r="Q691" s="553"/>
      <c r="R691" s="553"/>
      <c r="S691" s="553"/>
      <c r="T691" s="553"/>
      <c r="U691" s="553"/>
      <c r="V691" s="553"/>
      <c r="W691" s="194"/>
      <c r="X691" s="153"/>
      <c r="Y691" s="194"/>
    </row>
    <row r="692" spans="1:25" ht="21.95" customHeight="1" x14ac:dyDescent="0.2">
      <c r="A692" s="301"/>
      <c r="B692" s="302"/>
      <c r="C692" s="301"/>
      <c r="D692" s="301"/>
      <c r="E692" s="301"/>
      <c r="F692" s="301"/>
      <c r="G692" s="301"/>
      <c r="H692" s="215"/>
      <c r="I692" s="237" t="s">
        <v>3704</v>
      </c>
      <c r="J692" s="153"/>
      <c r="K692" s="215"/>
      <c r="L692" s="153"/>
      <c r="M692" s="215"/>
      <c r="N692" s="153"/>
      <c r="O692" s="215"/>
      <c r="P692" s="153"/>
      <c r="Q692" s="215"/>
      <c r="R692" s="153"/>
      <c r="S692" s="215"/>
      <c r="T692" s="153"/>
      <c r="U692" s="215"/>
      <c r="V692" s="153"/>
      <c r="W692" s="316"/>
      <c r="X692" s="165">
        <f ca="1">G412</f>
        <v>1</v>
      </c>
      <c r="Y692" s="194"/>
    </row>
    <row r="693" spans="1:25" ht="21.95" customHeight="1" x14ac:dyDescent="0.2">
      <c r="A693" s="301"/>
      <c r="B693" s="302"/>
      <c r="C693" s="301"/>
      <c r="D693" s="301"/>
      <c r="E693" s="301"/>
      <c r="F693" s="301"/>
      <c r="G693" s="301"/>
      <c r="H693" s="215"/>
      <c r="I693" s="564" t="s">
        <v>3058</v>
      </c>
      <c r="J693" s="553"/>
      <c r="K693" s="553"/>
      <c r="L693" s="553"/>
      <c r="M693" s="553"/>
      <c r="N693" s="553"/>
      <c r="O693" s="553"/>
      <c r="P693" s="553"/>
      <c r="Q693" s="553"/>
      <c r="R693" s="553"/>
      <c r="S693" s="553"/>
      <c r="T693" s="553"/>
      <c r="U693" s="553"/>
      <c r="V693" s="553"/>
      <c r="W693" s="194"/>
      <c r="X693" s="153"/>
      <c r="Y693" s="194"/>
    </row>
    <row r="694" spans="1:25" ht="21.95" customHeight="1" x14ac:dyDescent="0.2">
      <c r="A694" s="301"/>
      <c r="B694" s="302"/>
      <c r="C694" s="301"/>
      <c r="D694" s="301"/>
      <c r="E694" s="301"/>
      <c r="F694" s="301"/>
      <c r="G694" s="301"/>
      <c r="H694" s="215"/>
      <c r="I694" s="553"/>
      <c r="J694" s="553"/>
      <c r="K694" s="553"/>
      <c r="L694" s="553"/>
      <c r="M694" s="553"/>
      <c r="N694" s="553"/>
      <c r="O694" s="553"/>
      <c r="P694" s="553"/>
      <c r="Q694" s="553"/>
      <c r="R694" s="553"/>
      <c r="S694" s="553"/>
      <c r="T694" s="553"/>
      <c r="U694" s="553"/>
      <c r="V694" s="553"/>
      <c r="W694" s="194"/>
      <c r="X694" s="153"/>
      <c r="Y694" s="194"/>
    </row>
    <row r="695" spans="1:25" ht="21.95" customHeight="1" x14ac:dyDescent="0.2">
      <c r="A695" s="301"/>
      <c r="B695" s="302"/>
      <c r="C695" s="301"/>
      <c r="D695" s="301"/>
      <c r="E695" s="301"/>
      <c r="F695" s="301"/>
      <c r="G695" s="301"/>
      <c r="H695" s="215"/>
      <c r="I695" s="194"/>
      <c r="J695" s="153"/>
      <c r="K695" s="194"/>
      <c r="L695" s="153"/>
      <c r="M695" s="194"/>
      <c r="N695" s="153"/>
      <c r="O695" s="194"/>
      <c r="P695" s="153"/>
      <c r="Q695" s="194"/>
      <c r="R695" s="153"/>
      <c r="S695" s="194"/>
      <c r="T695" s="153"/>
      <c r="U695" s="194"/>
      <c r="V695" s="153"/>
      <c r="W695" s="194"/>
      <c r="X695" s="153"/>
      <c r="Y695" s="194"/>
    </row>
    <row r="696" spans="1:25" ht="21.95" customHeight="1" x14ac:dyDescent="0.2">
      <c r="A696" s="301"/>
      <c r="B696" s="302"/>
      <c r="C696" s="301"/>
      <c r="D696" s="301"/>
      <c r="E696" s="301"/>
      <c r="F696" s="301"/>
      <c r="G696" s="301"/>
      <c r="H696" s="215"/>
      <c r="I696" s="237" t="s">
        <v>3705</v>
      </c>
      <c r="J696" s="153"/>
      <c r="K696" s="215"/>
      <c r="L696" s="153"/>
      <c r="M696" s="215"/>
      <c r="N696" s="153"/>
      <c r="O696" s="215"/>
      <c r="P696" s="153"/>
      <c r="Q696" s="215"/>
      <c r="R696" s="153"/>
      <c r="S696" s="215"/>
      <c r="T696" s="153"/>
      <c r="U696" s="215"/>
      <c r="V696" s="153"/>
      <c r="W696" s="316"/>
      <c r="X696" s="165">
        <f ca="1">G413</f>
        <v>1</v>
      </c>
      <c r="Y696" s="194"/>
    </row>
    <row r="697" spans="1:25" ht="21.95" customHeight="1" x14ac:dyDescent="0.2">
      <c r="A697" s="301"/>
      <c r="B697" s="302"/>
      <c r="C697" s="301"/>
      <c r="D697" s="301"/>
      <c r="E697" s="301"/>
      <c r="F697" s="301"/>
      <c r="G697" s="301"/>
      <c r="H697" s="215"/>
      <c r="I697" s="564" t="s">
        <v>3059</v>
      </c>
      <c r="J697" s="553"/>
      <c r="K697" s="553"/>
      <c r="L697" s="553"/>
      <c r="M697" s="553"/>
      <c r="N697" s="553"/>
      <c r="O697" s="553"/>
      <c r="P697" s="553"/>
      <c r="Q697" s="553"/>
      <c r="R697" s="553"/>
      <c r="S697" s="553"/>
      <c r="T697" s="553"/>
      <c r="U697" s="553"/>
      <c r="V697" s="553"/>
      <c r="W697" s="194"/>
      <c r="X697" s="153"/>
      <c r="Y697" s="194"/>
    </row>
    <row r="698" spans="1:25" ht="21.95" customHeight="1" x14ac:dyDescent="0.2">
      <c r="A698" s="301"/>
      <c r="B698" s="302"/>
      <c r="C698" s="301"/>
      <c r="D698" s="301"/>
      <c r="E698" s="301"/>
      <c r="F698" s="301"/>
      <c r="G698" s="301"/>
      <c r="H698" s="215"/>
      <c r="I698" s="553"/>
      <c r="J698" s="553"/>
      <c r="K698" s="553"/>
      <c r="L698" s="553"/>
      <c r="M698" s="553"/>
      <c r="N698" s="553"/>
      <c r="O698" s="553"/>
      <c r="P698" s="553"/>
      <c r="Q698" s="553"/>
      <c r="R698" s="553"/>
      <c r="S698" s="553"/>
      <c r="T698" s="553"/>
      <c r="U698" s="553"/>
      <c r="V698" s="553"/>
      <c r="W698" s="194"/>
      <c r="X698" s="153"/>
      <c r="Y698" s="194"/>
    </row>
    <row r="699" spans="1:25" ht="21.95" customHeight="1" x14ac:dyDescent="0.2">
      <c r="A699" s="301"/>
      <c r="B699" s="302"/>
      <c r="C699" s="301"/>
      <c r="D699" s="301"/>
      <c r="E699" s="301"/>
      <c r="F699" s="301"/>
      <c r="G699" s="301"/>
      <c r="H699" s="215"/>
      <c r="I699" s="553"/>
      <c r="J699" s="553"/>
      <c r="K699" s="553"/>
      <c r="L699" s="553"/>
      <c r="M699" s="553"/>
      <c r="N699" s="553"/>
      <c r="O699" s="553"/>
      <c r="P699" s="553"/>
      <c r="Q699" s="553"/>
      <c r="R699" s="553"/>
      <c r="S699" s="553"/>
      <c r="T699" s="553"/>
      <c r="U699" s="553"/>
      <c r="V699" s="553"/>
      <c r="W699" s="194"/>
      <c r="X699" s="153"/>
      <c r="Y699" s="194"/>
    </row>
    <row r="700" spans="1:25" ht="21.95" customHeight="1" x14ac:dyDescent="0.2">
      <c r="A700" s="301"/>
      <c r="B700" s="302"/>
      <c r="C700" s="301"/>
      <c r="D700" s="301"/>
      <c r="E700" s="301"/>
      <c r="F700" s="301"/>
      <c r="G700" s="301"/>
      <c r="H700" s="215"/>
      <c r="I700" s="553"/>
      <c r="J700" s="553"/>
      <c r="K700" s="553"/>
      <c r="L700" s="553"/>
      <c r="M700" s="553"/>
      <c r="N700" s="553"/>
      <c r="O700" s="553"/>
      <c r="P700" s="553"/>
      <c r="Q700" s="553"/>
      <c r="R700" s="553"/>
      <c r="S700" s="553"/>
      <c r="T700" s="553"/>
      <c r="U700" s="553"/>
      <c r="V700" s="553"/>
      <c r="W700" s="194"/>
      <c r="X700" s="153"/>
      <c r="Y700" s="194"/>
    </row>
    <row r="701" spans="1:25" ht="21.95" customHeight="1" x14ac:dyDescent="0.2">
      <c r="A701" s="301"/>
      <c r="B701" s="302"/>
      <c r="C701" s="301"/>
      <c r="D701" s="301"/>
      <c r="E701" s="301"/>
      <c r="F701" s="301"/>
      <c r="G701" s="301"/>
      <c r="H701" s="215"/>
      <c r="I701" s="237" t="s">
        <v>3706</v>
      </c>
      <c r="J701" s="153"/>
      <c r="K701" s="215"/>
      <c r="L701" s="153"/>
      <c r="M701" s="215"/>
      <c r="N701" s="153"/>
      <c r="O701" s="215"/>
      <c r="P701" s="153"/>
      <c r="Q701" s="215"/>
      <c r="R701" s="153"/>
      <c r="S701" s="215"/>
      <c r="T701" s="153"/>
      <c r="U701" s="215"/>
      <c r="V701" s="153"/>
      <c r="W701" s="316"/>
      <c r="X701" s="165">
        <f ca="1">G414</f>
        <v>1</v>
      </c>
      <c r="Y701" s="194"/>
    </row>
    <row r="702" spans="1:25" ht="21.95" customHeight="1" x14ac:dyDescent="0.2">
      <c r="A702" s="301"/>
      <c r="B702" s="302"/>
      <c r="C702" s="301"/>
      <c r="D702" s="301"/>
      <c r="E702" s="301"/>
      <c r="F702" s="301"/>
      <c r="G702" s="301"/>
      <c r="H702" s="215"/>
      <c r="I702" s="564" t="s">
        <v>3060</v>
      </c>
      <c r="J702" s="553"/>
      <c r="K702" s="553"/>
      <c r="L702" s="553"/>
      <c r="M702" s="553"/>
      <c r="N702" s="553"/>
      <c r="O702" s="553"/>
      <c r="P702" s="553"/>
      <c r="Q702" s="553"/>
      <c r="R702" s="553"/>
      <c r="S702" s="553"/>
      <c r="T702" s="553"/>
      <c r="U702" s="553"/>
      <c r="V702" s="553"/>
      <c r="W702" s="194"/>
      <c r="X702" s="153"/>
      <c r="Y702" s="194"/>
    </row>
    <row r="703" spans="1:25" ht="21.95" customHeight="1" x14ac:dyDescent="0.2">
      <c r="A703" s="301"/>
      <c r="B703" s="302"/>
      <c r="C703" s="301"/>
      <c r="D703" s="301"/>
      <c r="E703" s="301"/>
      <c r="F703" s="301"/>
      <c r="G703" s="301"/>
      <c r="H703" s="215"/>
      <c r="I703" s="553"/>
      <c r="J703" s="553"/>
      <c r="K703" s="553"/>
      <c r="L703" s="553"/>
      <c r="M703" s="553"/>
      <c r="N703" s="553"/>
      <c r="O703" s="553"/>
      <c r="P703" s="553"/>
      <c r="Q703" s="553"/>
      <c r="R703" s="553"/>
      <c r="S703" s="553"/>
      <c r="T703" s="553"/>
      <c r="U703" s="553"/>
      <c r="V703" s="553"/>
      <c r="W703" s="194"/>
      <c r="X703" s="153"/>
      <c r="Y703" s="194"/>
    </row>
    <row r="704" spans="1:25" ht="21.95" customHeight="1" x14ac:dyDescent="0.2">
      <c r="A704" s="301"/>
      <c r="B704" s="302"/>
      <c r="C704" s="301"/>
      <c r="D704" s="301"/>
      <c r="E704" s="301"/>
      <c r="F704" s="301"/>
      <c r="G704" s="301"/>
      <c r="H704" s="215"/>
      <c r="I704" s="419"/>
      <c r="J704" s="422"/>
      <c r="K704" s="422"/>
      <c r="L704" s="422"/>
      <c r="M704" s="194"/>
      <c r="N704" s="153"/>
      <c r="O704" s="194"/>
      <c r="P704" s="153"/>
      <c r="Q704" s="194"/>
      <c r="R704" s="153"/>
      <c r="S704" s="194"/>
      <c r="T704" s="153"/>
      <c r="U704" s="194"/>
      <c r="V704" s="153"/>
      <c r="W704" s="194"/>
      <c r="X704" s="153"/>
      <c r="Y704" s="194"/>
    </row>
    <row r="705" spans="1:25" ht="21.95" customHeight="1" thickBot="1" x14ac:dyDescent="0.25">
      <c r="A705" s="301"/>
      <c r="B705" s="302"/>
      <c r="C705" s="301"/>
      <c r="D705" s="301"/>
      <c r="E705" s="301"/>
      <c r="F705" s="301"/>
      <c r="G705" s="301"/>
      <c r="H705" s="215"/>
      <c r="I705" s="424" t="str">
        <f>B524</f>
        <v>Community Stability, Including Affordable Housing Preservation (Maximum Points: 14)</v>
      </c>
      <c r="J705" s="269"/>
      <c r="K705" s="269"/>
      <c r="L705" s="269"/>
      <c r="M705" s="269"/>
      <c r="N705" s="269"/>
      <c r="O705" s="269"/>
      <c r="P705" s="269"/>
      <c r="Q705" s="269"/>
      <c r="R705" s="269"/>
      <c r="S705" s="269"/>
      <c r="T705" s="269"/>
      <c r="U705" s="269"/>
      <c r="V705" s="269"/>
      <c r="W705" s="269"/>
      <c r="X705" s="167" t="str">
        <f ca="1">"Status: "&amp;$B$543</f>
        <v>Status: Not Started</v>
      </c>
      <c r="Y705" s="194"/>
    </row>
    <row r="706" spans="1:25" ht="21.95" customHeight="1" x14ac:dyDescent="0.2">
      <c r="A706" s="301"/>
      <c r="B706" s="302"/>
      <c r="C706" s="301"/>
      <c r="D706" s="301"/>
      <c r="E706" s="301"/>
      <c r="F706" s="301"/>
      <c r="G706" s="301"/>
      <c r="H706" s="215"/>
      <c r="I706" s="263"/>
      <c r="J706" s="153"/>
      <c r="K706" s="194"/>
      <c r="L706" s="153"/>
      <c r="M706" s="194"/>
      <c r="N706" s="153"/>
      <c r="O706" s="194"/>
      <c r="P706" s="153"/>
      <c r="Q706" s="194"/>
      <c r="R706" s="153"/>
      <c r="S706" s="194"/>
      <c r="T706" s="153"/>
      <c r="U706" s="194"/>
      <c r="V706" s="153"/>
      <c r="W706" s="194"/>
      <c r="X706" s="153"/>
      <c r="Y706" s="194"/>
    </row>
    <row r="707" spans="1:25" ht="21.95" customHeight="1" x14ac:dyDescent="0.2">
      <c r="A707" s="301"/>
      <c r="B707" s="302"/>
      <c r="C707" s="301"/>
      <c r="D707" s="301"/>
      <c r="E707" s="301"/>
      <c r="F707" s="301"/>
      <c r="G707" s="301"/>
      <c r="H707" s="215"/>
      <c r="I707" s="499" t="s">
        <v>3686</v>
      </c>
      <c r="J707" s="499"/>
      <c r="K707" s="499"/>
      <c r="L707" s="499"/>
      <c r="M707" s="499"/>
      <c r="N707" s="499"/>
      <c r="O707" s="499"/>
      <c r="P707" s="499"/>
      <c r="Q707" s="499"/>
      <c r="R707" s="499"/>
      <c r="S707" s="499"/>
      <c r="T707" s="499"/>
      <c r="U707" s="499"/>
      <c r="V707" s="499"/>
      <c r="W707" s="499"/>
      <c r="X707" s="153"/>
      <c r="Y707" s="194"/>
    </row>
    <row r="708" spans="1:25" ht="21.95" customHeight="1" x14ac:dyDescent="0.2">
      <c r="A708" s="301"/>
      <c r="B708" s="302"/>
      <c r="C708" s="301"/>
      <c r="D708" s="301"/>
      <c r="E708" s="301"/>
      <c r="F708" s="301"/>
      <c r="G708" s="301"/>
      <c r="H708" s="215"/>
      <c r="I708" s="499"/>
      <c r="J708" s="499"/>
      <c r="K708" s="499"/>
      <c r="L708" s="499"/>
      <c r="M708" s="499"/>
      <c r="N708" s="499"/>
      <c r="O708" s="499"/>
      <c r="P708" s="499"/>
      <c r="Q708" s="499"/>
      <c r="R708" s="499"/>
      <c r="S708" s="499"/>
      <c r="T708" s="499"/>
      <c r="U708" s="499"/>
      <c r="V708" s="499"/>
      <c r="W708" s="499"/>
      <c r="X708" s="153"/>
      <c r="Y708" s="194"/>
    </row>
    <row r="709" spans="1:25" ht="21.95" customHeight="1" x14ac:dyDescent="0.2">
      <c r="A709" s="301"/>
      <c r="B709" s="302"/>
      <c r="C709" s="301"/>
      <c r="D709" s="301"/>
      <c r="E709" s="301"/>
      <c r="F709" s="301"/>
      <c r="G709" s="301"/>
      <c r="H709" s="215"/>
      <c r="I709" s="499"/>
      <c r="J709" s="499"/>
      <c r="K709" s="499"/>
      <c r="L709" s="499"/>
      <c r="M709" s="499"/>
      <c r="N709" s="499"/>
      <c r="O709" s="499"/>
      <c r="P709" s="499"/>
      <c r="Q709" s="499"/>
      <c r="R709" s="499"/>
      <c r="S709" s="499"/>
      <c r="T709" s="499"/>
      <c r="U709" s="499"/>
      <c r="V709" s="499"/>
      <c r="W709" s="499"/>
      <c r="X709" s="153"/>
      <c r="Y709" s="194"/>
    </row>
    <row r="710" spans="1:25" ht="21.95" customHeight="1" x14ac:dyDescent="0.2">
      <c r="A710" s="301"/>
      <c r="B710" s="302"/>
      <c r="C710" s="301"/>
      <c r="D710" s="301"/>
      <c r="E710" s="301"/>
      <c r="F710" s="301"/>
      <c r="G710" s="301"/>
      <c r="H710" s="215"/>
      <c r="I710" s="499"/>
      <c r="J710" s="499"/>
      <c r="K710" s="499"/>
      <c r="L710" s="499"/>
      <c r="M710" s="499"/>
      <c r="N710" s="499"/>
      <c r="O710" s="499"/>
      <c r="P710" s="499"/>
      <c r="Q710" s="499"/>
      <c r="R710" s="499"/>
      <c r="S710" s="499"/>
      <c r="T710" s="499"/>
      <c r="U710" s="499"/>
      <c r="V710" s="499"/>
      <c r="W710" s="499"/>
      <c r="X710" s="153"/>
      <c r="Y710" s="194"/>
    </row>
    <row r="711" spans="1:25" ht="21.95" customHeight="1" x14ac:dyDescent="0.2">
      <c r="A711" s="301"/>
      <c r="B711" s="302"/>
      <c r="C711" s="301"/>
      <c r="D711" s="301"/>
      <c r="E711" s="301"/>
      <c r="F711" s="301"/>
      <c r="G711" s="301"/>
      <c r="H711" s="215"/>
      <c r="I711" s="499"/>
      <c r="J711" s="499"/>
      <c r="K711" s="499"/>
      <c r="L711" s="499"/>
      <c r="M711" s="499"/>
      <c r="N711" s="499"/>
      <c r="O711" s="499"/>
      <c r="P711" s="499"/>
      <c r="Q711" s="499"/>
      <c r="R711" s="499"/>
      <c r="S711" s="499"/>
      <c r="T711" s="499"/>
      <c r="U711" s="499"/>
      <c r="V711" s="499"/>
      <c r="W711" s="499"/>
      <c r="X711" s="153"/>
      <c r="Y711" s="194"/>
    </row>
    <row r="712" spans="1:25" ht="21.95" customHeight="1" x14ac:dyDescent="0.2">
      <c r="A712" s="301"/>
      <c r="B712" s="302"/>
      <c r="C712" s="301"/>
      <c r="D712" s="301"/>
      <c r="E712" s="301"/>
      <c r="F712" s="301"/>
      <c r="G712" s="301"/>
      <c r="H712" s="215"/>
      <c r="I712" s="499"/>
      <c r="J712" s="499"/>
      <c r="K712" s="499"/>
      <c r="L712" s="499"/>
      <c r="M712" s="499"/>
      <c r="N712" s="499"/>
      <c r="O712" s="499"/>
      <c r="P712" s="499"/>
      <c r="Q712" s="499"/>
      <c r="R712" s="499"/>
      <c r="S712" s="499"/>
      <c r="T712" s="499"/>
      <c r="U712" s="499"/>
      <c r="V712" s="499"/>
      <c r="W712" s="499"/>
      <c r="X712" s="153"/>
      <c r="Y712" s="194"/>
    </row>
    <row r="713" spans="1:25" ht="21.95" customHeight="1" x14ac:dyDescent="0.2">
      <c r="A713" s="301"/>
      <c r="B713" s="302"/>
      <c r="C713" s="301"/>
      <c r="D713" s="301"/>
      <c r="E713" s="301"/>
      <c r="F713" s="301"/>
      <c r="G713" s="301"/>
      <c r="H713" s="215"/>
      <c r="I713" s="263"/>
      <c r="J713" s="153"/>
      <c r="K713" s="194"/>
      <c r="L713" s="153"/>
      <c r="M713" s="194"/>
      <c r="N713" s="153"/>
      <c r="O713" s="194"/>
      <c r="P713" s="153"/>
      <c r="Q713" s="194"/>
      <c r="R713" s="153"/>
      <c r="S713" s="194"/>
      <c r="T713" s="153"/>
      <c r="U713" s="194"/>
      <c r="V713" s="153"/>
      <c r="W713" s="194"/>
      <c r="X713" s="153"/>
      <c r="Y713" s="194"/>
    </row>
    <row r="714" spans="1:25" ht="21.95" customHeight="1" thickBot="1" x14ac:dyDescent="0.25">
      <c r="A714" s="301"/>
      <c r="B714" s="302"/>
      <c r="C714" s="301"/>
      <c r="D714" s="301"/>
      <c r="E714" s="301"/>
      <c r="F714" s="301"/>
      <c r="G714" s="301"/>
      <c r="H714" s="215"/>
      <c r="I714" s="216" t="s">
        <v>3708</v>
      </c>
      <c r="J714" s="217"/>
      <c r="K714" s="223"/>
      <c r="L714" s="217"/>
      <c r="M714" s="223"/>
      <c r="N714" s="217"/>
      <c r="O714" s="223"/>
      <c r="P714" s="217"/>
      <c r="Q714" s="255"/>
      <c r="R714" s="217"/>
      <c r="S714" s="223"/>
      <c r="T714" s="217"/>
      <c r="U714" s="223"/>
      <c r="V714" s="217"/>
      <c r="W714" s="223"/>
      <c r="X714" s="153"/>
      <c r="Y714" s="194"/>
    </row>
    <row r="715" spans="1:25" ht="21.95" customHeight="1" thickTop="1" x14ac:dyDescent="0.2">
      <c r="A715" s="301"/>
      <c r="B715" s="302"/>
      <c r="C715" s="301"/>
      <c r="D715" s="301"/>
      <c r="E715" s="301"/>
      <c r="F715" s="301"/>
      <c r="G715" s="301"/>
      <c r="H715" s="215"/>
      <c r="I715" s="194"/>
      <c r="J715" s="153"/>
      <c r="K715" s="194"/>
      <c r="L715" s="153"/>
      <c r="M715" s="194"/>
      <c r="N715" s="153"/>
      <c r="O715" s="194"/>
      <c r="P715" s="153"/>
      <c r="Q715" s="194"/>
      <c r="R715" s="153"/>
      <c r="S715" s="194"/>
      <c r="T715" s="153"/>
      <c r="U715" s="194"/>
      <c r="V715" s="153"/>
      <c r="W715" s="194"/>
      <c r="X715" s="153"/>
      <c r="Y715" s="194"/>
    </row>
    <row r="716" spans="1:25" ht="21.95" customHeight="1" x14ac:dyDescent="0.2">
      <c r="A716" s="301"/>
      <c r="B716" s="302"/>
      <c r="C716" s="301"/>
      <c r="D716" s="301"/>
      <c r="E716" s="301"/>
      <c r="F716" s="301"/>
      <c r="G716" s="301"/>
      <c r="H716" s="152"/>
      <c r="I716" s="681" t="s">
        <v>3720</v>
      </c>
      <c r="J716" s="682"/>
      <c r="K716" s="682"/>
      <c r="L716" s="682"/>
      <c r="M716" s="682"/>
      <c r="N716" s="682"/>
      <c r="O716" s="682"/>
      <c r="P716" s="682"/>
      <c r="Q716" s="682"/>
      <c r="R716" s="682"/>
      <c r="S716" s="682"/>
      <c r="T716" s="682"/>
      <c r="U716" s="682"/>
      <c r="V716" s="682"/>
      <c r="W716" s="682"/>
      <c r="X716" s="165">
        <f ca="1">G525</f>
        <v>1</v>
      </c>
      <c r="Y716" s="194"/>
    </row>
    <row r="717" spans="1:25" ht="21.95" customHeight="1" x14ac:dyDescent="0.2">
      <c r="A717" s="301"/>
      <c r="B717" s="302"/>
      <c r="C717" s="301"/>
      <c r="D717" s="301"/>
      <c r="E717" s="301"/>
      <c r="F717" s="301"/>
      <c r="G717" s="301"/>
      <c r="H717" s="266" t="str">
        <f>IF($B$525=1,"Y","")</f>
        <v/>
      </c>
      <c r="I717" s="473" t="s">
        <v>3328</v>
      </c>
      <c r="J717" s="474"/>
      <c r="K717" s="474"/>
      <c r="L717" s="474"/>
      <c r="M717" s="474"/>
      <c r="N717" s="474"/>
      <c r="O717" s="474"/>
      <c r="P717" s="474"/>
      <c r="Q717" s="474"/>
      <c r="R717" s="474"/>
      <c r="S717" s="474"/>
      <c r="T717" s="474"/>
      <c r="U717" s="474"/>
      <c r="V717" s="474"/>
      <c r="W717" s="474"/>
      <c r="X717" s="153"/>
      <c r="Y717" s="194"/>
    </row>
    <row r="718" spans="1:25" ht="21.95" customHeight="1" x14ac:dyDescent="0.2">
      <c r="A718" s="301"/>
      <c r="B718" s="302"/>
      <c r="C718" s="301"/>
      <c r="D718" s="301"/>
      <c r="E718" s="301"/>
      <c r="F718" s="301"/>
      <c r="G718" s="301"/>
      <c r="H718" s="267"/>
      <c r="I718" s="677" t="s">
        <v>3653</v>
      </c>
      <c r="J718" s="678"/>
      <c r="K718" s="678"/>
      <c r="L718" s="678"/>
      <c r="M718" s="678"/>
      <c r="N718" s="678"/>
      <c r="O718" s="678"/>
      <c r="P718" s="678"/>
      <c r="Q718" s="678"/>
      <c r="R718" s="678"/>
      <c r="S718" s="678"/>
      <c r="T718" s="678"/>
      <c r="U718" s="678"/>
      <c r="V718" s="678"/>
      <c r="W718" s="678"/>
      <c r="X718" s="153"/>
      <c r="Y718" s="194"/>
    </row>
    <row r="719" spans="1:25" ht="21.95" customHeight="1" x14ac:dyDescent="0.2">
      <c r="A719" s="301"/>
      <c r="B719" s="302"/>
      <c r="C719" s="301"/>
      <c r="D719" s="301"/>
      <c r="E719" s="301"/>
      <c r="F719" s="301"/>
      <c r="G719" s="301"/>
      <c r="H719" s="267"/>
      <c r="I719" s="678"/>
      <c r="J719" s="678"/>
      <c r="K719" s="678"/>
      <c r="L719" s="678"/>
      <c r="M719" s="678"/>
      <c r="N719" s="678"/>
      <c r="O719" s="678"/>
      <c r="P719" s="678"/>
      <c r="Q719" s="678"/>
      <c r="R719" s="678"/>
      <c r="S719" s="678"/>
      <c r="T719" s="678"/>
      <c r="U719" s="678"/>
      <c r="V719" s="678"/>
      <c r="W719" s="678"/>
      <c r="X719" s="153"/>
      <c r="Y719" s="194"/>
    </row>
    <row r="720" spans="1:25" ht="21.95" customHeight="1" x14ac:dyDescent="0.2">
      <c r="A720" s="301"/>
      <c r="B720" s="302"/>
      <c r="C720" s="301"/>
      <c r="D720" s="301"/>
      <c r="E720" s="301"/>
      <c r="F720" s="301"/>
      <c r="G720" s="301"/>
      <c r="H720" s="267"/>
      <c r="I720" s="678"/>
      <c r="J720" s="678"/>
      <c r="K720" s="678"/>
      <c r="L720" s="678"/>
      <c r="M720" s="678"/>
      <c r="N720" s="678"/>
      <c r="O720" s="678"/>
      <c r="P720" s="678"/>
      <c r="Q720" s="678"/>
      <c r="R720" s="678"/>
      <c r="S720" s="678"/>
      <c r="T720" s="678"/>
      <c r="U720" s="678"/>
      <c r="V720" s="678"/>
      <c r="W720" s="678"/>
      <c r="X720" s="153"/>
      <c r="Y720" s="194"/>
    </row>
    <row r="721" spans="1:25" ht="21.95" customHeight="1" x14ac:dyDescent="0.2">
      <c r="A721" s="301"/>
      <c r="B721" s="302"/>
      <c r="C721" s="301"/>
      <c r="D721" s="301"/>
      <c r="E721" s="301"/>
      <c r="F721" s="301"/>
      <c r="G721" s="301"/>
      <c r="H721" s="266" t="str">
        <f>IF($B$525=2,"Y","")</f>
        <v/>
      </c>
      <c r="I721" s="473" t="s">
        <v>3329</v>
      </c>
      <c r="J721" s="474"/>
      <c r="K721" s="474"/>
      <c r="L721" s="474"/>
      <c r="M721" s="474"/>
      <c r="N721" s="474"/>
      <c r="O721" s="474"/>
      <c r="P721" s="474"/>
      <c r="Q721" s="474"/>
      <c r="R721" s="474"/>
      <c r="S721" s="474"/>
      <c r="T721" s="474"/>
      <c r="U721" s="474"/>
      <c r="V721" s="474"/>
      <c r="W721" s="474"/>
      <c r="X721" s="153"/>
      <c r="Y721" s="194"/>
    </row>
    <row r="722" spans="1:25" ht="21.95" customHeight="1" x14ac:dyDescent="0.2">
      <c r="A722" s="301"/>
      <c r="B722" s="302"/>
      <c r="C722" s="301"/>
      <c r="D722" s="301"/>
      <c r="E722" s="301"/>
      <c r="F722" s="301"/>
      <c r="G722" s="301"/>
      <c r="H722" s="267"/>
      <c r="I722" s="677" t="s">
        <v>3395</v>
      </c>
      <c r="J722" s="678"/>
      <c r="K722" s="678"/>
      <c r="L722" s="678"/>
      <c r="M722" s="678"/>
      <c r="N722" s="678"/>
      <c r="O722" s="678"/>
      <c r="P722" s="678"/>
      <c r="Q722" s="678"/>
      <c r="R722" s="678"/>
      <c r="S722" s="678"/>
      <c r="T722" s="678"/>
      <c r="U722" s="678"/>
      <c r="V722" s="678"/>
      <c r="W722" s="678"/>
      <c r="X722" s="153"/>
      <c r="Y722" s="194"/>
    </row>
    <row r="723" spans="1:25" ht="21.95" customHeight="1" x14ac:dyDescent="0.2">
      <c r="A723" s="301"/>
      <c r="B723" s="302"/>
      <c r="C723" s="301"/>
      <c r="D723" s="301"/>
      <c r="E723" s="301"/>
      <c r="F723" s="301"/>
      <c r="G723" s="301"/>
      <c r="H723" s="267"/>
      <c r="I723" s="678"/>
      <c r="J723" s="678"/>
      <c r="K723" s="678"/>
      <c r="L723" s="678"/>
      <c r="M723" s="678"/>
      <c r="N723" s="678"/>
      <c r="O723" s="678"/>
      <c r="P723" s="678"/>
      <c r="Q723" s="678"/>
      <c r="R723" s="678"/>
      <c r="S723" s="678"/>
      <c r="T723" s="678"/>
      <c r="U723" s="678"/>
      <c r="V723" s="678"/>
      <c r="W723" s="678"/>
      <c r="X723" s="153"/>
      <c r="Y723" s="194"/>
    </row>
    <row r="724" spans="1:25" ht="21.95" customHeight="1" x14ac:dyDescent="0.2">
      <c r="A724" s="301"/>
      <c r="B724" s="302"/>
      <c r="C724" s="301"/>
      <c r="D724" s="301"/>
      <c r="E724" s="301"/>
      <c r="F724" s="301"/>
      <c r="G724" s="301"/>
      <c r="H724" s="267"/>
      <c r="I724" s="678"/>
      <c r="J724" s="678"/>
      <c r="K724" s="678"/>
      <c r="L724" s="678"/>
      <c r="M724" s="678"/>
      <c r="N724" s="678"/>
      <c r="O724" s="678"/>
      <c r="P724" s="678"/>
      <c r="Q724" s="678"/>
      <c r="R724" s="678"/>
      <c r="S724" s="678"/>
      <c r="T724" s="678"/>
      <c r="U724" s="678"/>
      <c r="V724" s="678"/>
      <c r="W724" s="678"/>
      <c r="X724" s="153"/>
      <c r="Y724" s="194"/>
    </row>
    <row r="725" spans="1:25" ht="21.95" customHeight="1" x14ac:dyDescent="0.2">
      <c r="A725" s="301"/>
      <c r="B725" s="302"/>
      <c r="C725" s="301"/>
      <c r="D725" s="301"/>
      <c r="E725" s="301"/>
      <c r="F725" s="301"/>
      <c r="G725" s="301"/>
      <c r="H725" s="266" t="str">
        <f>IF($B$525=3,"Y","")</f>
        <v/>
      </c>
      <c r="I725" s="473" t="s">
        <v>3709</v>
      </c>
      <c r="J725" s="474"/>
      <c r="K725" s="474"/>
      <c r="L725" s="474"/>
      <c r="M725" s="474"/>
      <c r="N725" s="474"/>
      <c r="O725" s="474"/>
      <c r="P725" s="474"/>
      <c r="Q725" s="474"/>
      <c r="R725" s="474"/>
      <c r="S725" s="474"/>
      <c r="T725" s="474"/>
      <c r="U725" s="474"/>
      <c r="V725" s="474"/>
      <c r="W725" s="474"/>
      <c r="X725" s="153"/>
      <c r="Y725" s="194"/>
    </row>
    <row r="726" spans="1:25" ht="21.95" customHeight="1" x14ac:dyDescent="0.2">
      <c r="A726" s="301"/>
      <c r="B726" s="302"/>
      <c r="C726" s="301"/>
      <c r="D726" s="301"/>
      <c r="E726" s="301"/>
      <c r="F726" s="301"/>
      <c r="G726" s="301"/>
      <c r="H726" s="267"/>
      <c r="I726" s="677" t="s">
        <v>3710</v>
      </c>
      <c r="J726" s="678"/>
      <c r="K726" s="678"/>
      <c r="L726" s="678"/>
      <c r="M726" s="678"/>
      <c r="N726" s="678"/>
      <c r="O726" s="678"/>
      <c r="P726" s="678"/>
      <c r="Q726" s="678"/>
      <c r="R726" s="678"/>
      <c r="S726" s="678"/>
      <c r="T726" s="678"/>
      <c r="U726" s="678"/>
      <c r="V726" s="678"/>
      <c r="W726" s="678"/>
      <c r="X726" s="153"/>
      <c r="Y726" s="194"/>
    </row>
    <row r="727" spans="1:25" ht="21.95" customHeight="1" x14ac:dyDescent="0.2">
      <c r="A727" s="301"/>
      <c r="B727" s="302"/>
      <c r="C727" s="301"/>
      <c r="D727" s="301"/>
      <c r="E727" s="301"/>
      <c r="F727" s="301"/>
      <c r="G727" s="301"/>
      <c r="H727" s="267"/>
      <c r="I727" s="678"/>
      <c r="J727" s="678"/>
      <c r="K727" s="678"/>
      <c r="L727" s="678"/>
      <c r="M727" s="678"/>
      <c r="N727" s="678"/>
      <c r="O727" s="678"/>
      <c r="P727" s="678"/>
      <c r="Q727" s="678"/>
      <c r="R727" s="678"/>
      <c r="S727" s="678"/>
      <c r="T727" s="678"/>
      <c r="U727" s="678"/>
      <c r="V727" s="678"/>
      <c r="W727" s="678"/>
      <c r="X727" s="153"/>
      <c r="Y727" s="194"/>
    </row>
    <row r="728" spans="1:25" ht="21.95" customHeight="1" x14ac:dyDescent="0.2">
      <c r="A728" s="301"/>
      <c r="B728" s="302"/>
      <c r="C728" s="301"/>
      <c r="D728" s="301"/>
      <c r="E728" s="301"/>
      <c r="F728" s="301"/>
      <c r="G728" s="301"/>
      <c r="H728" s="267"/>
      <c r="I728" s="678"/>
      <c r="J728" s="678"/>
      <c r="K728" s="678"/>
      <c r="L728" s="678"/>
      <c r="M728" s="678"/>
      <c r="N728" s="678"/>
      <c r="O728" s="678"/>
      <c r="P728" s="678"/>
      <c r="Q728" s="678"/>
      <c r="R728" s="678"/>
      <c r="S728" s="678"/>
      <c r="T728" s="678"/>
      <c r="U728" s="678"/>
      <c r="V728" s="678"/>
      <c r="W728" s="678"/>
      <c r="X728" s="153"/>
      <c r="Y728" s="194"/>
    </row>
    <row r="729" spans="1:25" ht="21.95" customHeight="1" x14ac:dyDescent="0.2">
      <c r="A729" s="301"/>
      <c r="B729" s="302"/>
      <c r="C729" s="301"/>
      <c r="D729" s="301"/>
      <c r="E729" s="301"/>
      <c r="F729" s="301"/>
      <c r="G729" s="301"/>
      <c r="H729" s="267"/>
      <c r="I729" s="678"/>
      <c r="J729" s="678"/>
      <c r="K729" s="678"/>
      <c r="L729" s="678"/>
      <c r="M729" s="678"/>
      <c r="N729" s="678"/>
      <c r="O729" s="678"/>
      <c r="P729" s="678"/>
      <c r="Q729" s="678"/>
      <c r="R729" s="678"/>
      <c r="S729" s="678"/>
      <c r="T729" s="678"/>
      <c r="U729" s="678"/>
      <c r="V729" s="678"/>
      <c r="W729" s="678"/>
      <c r="X729" s="153"/>
      <c r="Y729" s="194"/>
    </row>
    <row r="730" spans="1:25" s="394" customFormat="1" ht="21.95" customHeight="1" x14ac:dyDescent="0.2">
      <c r="A730" s="301"/>
      <c r="B730" s="302"/>
      <c r="C730" s="301"/>
      <c r="D730" s="301"/>
      <c r="E730" s="301"/>
      <c r="F730" s="301"/>
      <c r="G730" s="301"/>
      <c r="H730" s="266" t="str">
        <f>IF($B$525=4,"Y","")</f>
        <v/>
      </c>
      <c r="I730" s="716" t="s">
        <v>3711</v>
      </c>
      <c r="J730" s="717"/>
      <c r="K730" s="717"/>
      <c r="L730" s="717"/>
      <c r="M730" s="717"/>
      <c r="N730" s="717"/>
      <c r="O730" s="717"/>
      <c r="P730" s="717"/>
      <c r="Q730" s="717"/>
      <c r="R730" s="717"/>
      <c r="S730" s="717"/>
      <c r="T730" s="717"/>
      <c r="U730" s="717"/>
      <c r="V730" s="717"/>
      <c r="W730" s="718"/>
      <c r="X730" s="393"/>
      <c r="Y730" s="393"/>
    </row>
    <row r="731" spans="1:25" s="394" customFormat="1" ht="21.95" customHeight="1" x14ac:dyDescent="0.2">
      <c r="A731" s="301"/>
      <c r="B731" s="302"/>
      <c r="C731" s="301"/>
      <c r="D731" s="301"/>
      <c r="E731" s="301"/>
      <c r="F731" s="301"/>
      <c r="G731" s="301"/>
      <c r="H731" s="392"/>
      <c r="I731" s="719"/>
      <c r="J731" s="720"/>
      <c r="K731" s="720"/>
      <c r="L731" s="720"/>
      <c r="M731" s="720"/>
      <c r="N731" s="720"/>
      <c r="O731" s="720"/>
      <c r="P731" s="720"/>
      <c r="Q731" s="720"/>
      <c r="R731" s="720"/>
      <c r="S731" s="720"/>
      <c r="T731" s="720"/>
      <c r="U731" s="720"/>
      <c r="V731" s="720"/>
      <c r="W731" s="721"/>
      <c r="X731" s="393"/>
      <c r="Y731" s="393"/>
    </row>
    <row r="732" spans="1:25" ht="21.95" customHeight="1" x14ac:dyDescent="0.2">
      <c r="A732" s="301"/>
      <c r="B732" s="302"/>
      <c r="C732" s="301"/>
      <c r="D732" s="301"/>
      <c r="E732" s="301"/>
      <c r="F732" s="301"/>
      <c r="G732" s="301"/>
      <c r="H732" s="267"/>
      <c r="I732" s="554" t="s">
        <v>3712</v>
      </c>
      <c r="J732" s="555"/>
      <c r="K732" s="555"/>
      <c r="L732" s="555"/>
      <c r="M732" s="555"/>
      <c r="N732" s="555"/>
      <c r="O732" s="555"/>
      <c r="P732" s="555"/>
      <c r="Q732" s="555"/>
      <c r="R732" s="555"/>
      <c r="S732" s="555"/>
      <c r="T732" s="555"/>
      <c r="U732" s="555"/>
      <c r="V732" s="555"/>
      <c r="W732" s="556"/>
      <c r="X732" s="153"/>
      <c r="Y732" s="194"/>
    </row>
    <row r="733" spans="1:25" ht="21.95" customHeight="1" x14ac:dyDescent="0.2">
      <c r="A733" s="301"/>
      <c r="B733" s="302"/>
      <c r="C733" s="301"/>
      <c r="D733" s="301"/>
      <c r="E733" s="301"/>
      <c r="F733" s="301"/>
      <c r="G733" s="301"/>
      <c r="H733" s="267"/>
      <c r="I733" s="560"/>
      <c r="J733" s="561"/>
      <c r="K733" s="561"/>
      <c r="L733" s="561"/>
      <c r="M733" s="561"/>
      <c r="N733" s="561"/>
      <c r="O733" s="561"/>
      <c r="P733" s="561"/>
      <c r="Q733" s="561"/>
      <c r="R733" s="561"/>
      <c r="S733" s="561"/>
      <c r="T733" s="561"/>
      <c r="U733" s="561"/>
      <c r="V733" s="561"/>
      <c r="W733" s="562"/>
      <c r="X733" s="153"/>
      <c r="Y733" s="194"/>
    </row>
    <row r="734" spans="1:25" ht="21.95" customHeight="1" x14ac:dyDescent="0.2">
      <c r="A734" s="301"/>
      <c r="B734" s="302"/>
      <c r="C734" s="301"/>
      <c r="D734" s="301"/>
      <c r="E734" s="301"/>
      <c r="F734" s="301"/>
      <c r="G734" s="301"/>
      <c r="H734" s="266" t="str">
        <f>IF($B$525=5,"Y","")</f>
        <v/>
      </c>
      <c r="I734" s="473" t="s">
        <v>3330</v>
      </c>
      <c r="J734" s="474"/>
      <c r="K734" s="474"/>
      <c r="L734" s="474"/>
      <c r="M734" s="474"/>
      <c r="N734" s="474"/>
      <c r="O734" s="474"/>
      <c r="P734" s="474"/>
      <c r="Q734" s="474"/>
      <c r="R734" s="474"/>
      <c r="S734" s="474"/>
      <c r="T734" s="474"/>
      <c r="U734" s="474"/>
      <c r="V734" s="474"/>
      <c r="W734" s="474"/>
      <c r="X734" s="153"/>
      <c r="Y734" s="194"/>
    </row>
    <row r="735" spans="1:25" ht="21.95" customHeight="1" x14ac:dyDescent="0.2">
      <c r="A735" s="301"/>
      <c r="B735" s="302"/>
      <c r="C735" s="301"/>
      <c r="D735" s="301"/>
      <c r="E735" s="301"/>
      <c r="F735" s="301"/>
      <c r="G735" s="301"/>
      <c r="H735" s="215"/>
      <c r="I735" s="194"/>
      <c r="J735" s="153"/>
      <c r="K735" s="194"/>
      <c r="L735" s="153"/>
      <c r="M735" s="194"/>
      <c r="N735" s="153"/>
      <c r="O735" s="194"/>
      <c r="P735" s="153"/>
      <c r="Q735" s="194"/>
      <c r="R735" s="153"/>
      <c r="S735" s="194"/>
      <c r="T735" s="153"/>
      <c r="U735" s="194"/>
      <c r="V735" s="153"/>
      <c r="W735" s="194"/>
      <c r="X735" s="153"/>
      <c r="Y735" s="194"/>
    </row>
    <row r="736" spans="1:25" ht="21.95" customHeight="1" thickBot="1" x14ac:dyDescent="0.25">
      <c r="A736" s="301"/>
      <c r="B736" s="302"/>
      <c r="C736" s="301"/>
      <c r="D736" s="301"/>
      <c r="E736" s="301"/>
      <c r="F736" s="301"/>
      <c r="G736" s="301"/>
      <c r="H736" s="215"/>
      <c r="I736" s="216" t="s">
        <v>3688</v>
      </c>
      <c r="J736" s="217"/>
      <c r="K736" s="223"/>
      <c r="L736" s="217"/>
      <c r="M736" s="223"/>
      <c r="N736" s="217"/>
      <c r="O736" s="223"/>
      <c r="P736" s="217"/>
      <c r="Q736" s="255"/>
      <c r="R736" s="217"/>
      <c r="S736" s="223"/>
      <c r="T736" s="217"/>
      <c r="U736" s="223"/>
      <c r="V736" s="217"/>
      <c r="W736" s="223"/>
      <c r="X736" s="153"/>
      <c r="Y736" s="194"/>
    </row>
    <row r="737" spans="1:25" ht="21.95" customHeight="1" thickTop="1" x14ac:dyDescent="0.2">
      <c r="A737" s="301"/>
      <c r="B737" s="302"/>
      <c r="C737" s="301"/>
      <c r="D737" s="301"/>
      <c r="E737" s="301"/>
      <c r="F737" s="301"/>
      <c r="G737" s="301"/>
      <c r="H737" s="215"/>
      <c r="I737" s="194"/>
      <c r="J737" s="153"/>
      <c r="K737" s="194"/>
      <c r="L737" s="153"/>
      <c r="M737" s="194"/>
      <c r="N737" s="153"/>
      <c r="O737" s="194"/>
      <c r="P737" s="153"/>
      <c r="Q737" s="194"/>
      <c r="R737" s="153"/>
      <c r="S737" s="194"/>
      <c r="T737" s="153"/>
      <c r="U737" s="194"/>
      <c r="V737" s="153"/>
      <c r="W737" s="194"/>
      <c r="X737" s="153"/>
      <c r="Y737" s="194"/>
    </row>
    <row r="738" spans="1:25" ht="21.95" customHeight="1" x14ac:dyDescent="0.2">
      <c r="A738" s="301"/>
      <c r="B738" s="302"/>
      <c r="C738" s="301"/>
      <c r="D738" s="301"/>
      <c r="E738" s="301"/>
      <c r="F738" s="301"/>
      <c r="G738" s="301"/>
      <c r="H738" s="152"/>
      <c r="I738" s="681" t="s">
        <v>3480</v>
      </c>
      <c r="J738" s="682"/>
      <c r="K738" s="682"/>
      <c r="L738" s="682"/>
      <c r="M738" s="682"/>
      <c r="N738" s="682"/>
      <c r="O738" s="682"/>
      <c r="P738" s="682"/>
      <c r="Q738" s="682"/>
      <c r="R738" s="682"/>
      <c r="S738" s="682"/>
      <c r="T738" s="682"/>
      <c r="U738" s="682"/>
      <c r="V738" s="682"/>
      <c r="W738" s="682"/>
      <c r="X738" s="173">
        <f ca="1">G527</f>
        <v>1</v>
      </c>
      <c r="Y738" s="194"/>
    </row>
    <row r="739" spans="1:25" ht="21.95" customHeight="1" x14ac:dyDescent="0.2">
      <c r="A739" s="301"/>
      <c r="B739" s="302"/>
      <c r="C739" s="301"/>
      <c r="D739" s="301"/>
      <c r="E739" s="301"/>
      <c r="F739" s="301"/>
      <c r="G739" s="301"/>
      <c r="H739" s="266" t="str">
        <f>IF($B$527=1,"Y","")</f>
        <v/>
      </c>
      <c r="I739" s="473" t="s">
        <v>3331</v>
      </c>
      <c r="J739" s="474"/>
      <c r="K739" s="474"/>
      <c r="L739" s="474"/>
      <c r="M739" s="474"/>
      <c r="N739" s="474"/>
      <c r="O739" s="474"/>
      <c r="P739" s="474"/>
      <c r="Q739" s="474"/>
      <c r="R739" s="474"/>
      <c r="S739" s="474"/>
      <c r="T739" s="474"/>
      <c r="U739" s="474"/>
      <c r="V739" s="474"/>
      <c r="W739" s="474"/>
      <c r="X739" s="153"/>
      <c r="Y739" s="194"/>
    </row>
    <row r="740" spans="1:25" ht="21.95" customHeight="1" x14ac:dyDescent="0.2">
      <c r="A740" s="301"/>
      <c r="B740" s="302"/>
      <c r="C740" s="301"/>
      <c r="D740" s="301"/>
      <c r="E740" s="301"/>
      <c r="F740" s="301"/>
      <c r="G740" s="301"/>
      <c r="H740" s="267"/>
      <c r="I740" s="677" t="s">
        <v>3689</v>
      </c>
      <c r="J740" s="678"/>
      <c r="K740" s="678"/>
      <c r="L740" s="678"/>
      <c r="M740" s="678"/>
      <c r="N740" s="678"/>
      <c r="O740" s="678"/>
      <c r="P740" s="678"/>
      <c r="Q740" s="678"/>
      <c r="R740" s="678"/>
      <c r="S740" s="678"/>
      <c r="T740" s="678"/>
      <c r="U740" s="678"/>
      <c r="V740" s="678"/>
      <c r="W740" s="678"/>
      <c r="X740" s="153"/>
      <c r="Y740" s="194"/>
    </row>
    <row r="741" spans="1:25" ht="21.95" customHeight="1" x14ac:dyDescent="0.2">
      <c r="A741" s="301"/>
      <c r="B741" s="302"/>
      <c r="C741" s="301"/>
      <c r="D741" s="301"/>
      <c r="E741" s="301"/>
      <c r="F741" s="301"/>
      <c r="G741" s="301"/>
      <c r="H741" s="267"/>
      <c r="I741" s="678"/>
      <c r="J741" s="678"/>
      <c r="K741" s="678"/>
      <c r="L741" s="678"/>
      <c r="M741" s="678"/>
      <c r="N741" s="678"/>
      <c r="O741" s="678"/>
      <c r="P741" s="678"/>
      <c r="Q741" s="678"/>
      <c r="R741" s="678"/>
      <c r="S741" s="678"/>
      <c r="T741" s="678"/>
      <c r="U741" s="678"/>
      <c r="V741" s="678"/>
      <c r="W741" s="678"/>
      <c r="X741" s="153"/>
      <c r="Y741" s="194"/>
    </row>
    <row r="742" spans="1:25" ht="21.95" customHeight="1" x14ac:dyDescent="0.2">
      <c r="A742" s="301"/>
      <c r="B742" s="302"/>
      <c r="C742" s="301"/>
      <c r="D742" s="301"/>
      <c r="E742" s="301"/>
      <c r="F742" s="301"/>
      <c r="G742" s="301"/>
      <c r="H742" s="266" t="str">
        <f>IF($B$527=2,"Y","")</f>
        <v/>
      </c>
      <c r="I742" s="473" t="s">
        <v>3588</v>
      </c>
      <c r="J742" s="474"/>
      <c r="K742" s="474"/>
      <c r="L742" s="474"/>
      <c r="M742" s="474"/>
      <c r="N742" s="474"/>
      <c r="O742" s="474"/>
      <c r="P742" s="474"/>
      <c r="Q742" s="474"/>
      <c r="R742" s="474"/>
      <c r="S742" s="474"/>
      <c r="T742" s="474"/>
      <c r="U742" s="474"/>
      <c r="V742" s="474"/>
      <c r="W742" s="474"/>
      <c r="X742" s="153"/>
      <c r="Y742" s="194"/>
    </row>
    <row r="743" spans="1:25" ht="21.95" customHeight="1" x14ac:dyDescent="0.2">
      <c r="A743" s="301"/>
      <c r="B743" s="302"/>
      <c r="C743" s="301"/>
      <c r="D743" s="301"/>
      <c r="E743" s="301"/>
      <c r="F743" s="301"/>
      <c r="G743" s="301"/>
      <c r="H743" s="267"/>
      <c r="I743" s="677" t="s">
        <v>3689</v>
      </c>
      <c r="J743" s="678"/>
      <c r="K743" s="678"/>
      <c r="L743" s="678"/>
      <c r="M743" s="678"/>
      <c r="N743" s="678"/>
      <c r="O743" s="678"/>
      <c r="P743" s="678"/>
      <c r="Q743" s="678"/>
      <c r="R743" s="678"/>
      <c r="S743" s="678"/>
      <c r="T743" s="678"/>
      <c r="U743" s="678"/>
      <c r="V743" s="678"/>
      <c r="W743" s="678"/>
      <c r="X743" s="153"/>
      <c r="Y743" s="194"/>
    </row>
    <row r="744" spans="1:25" ht="21.95" customHeight="1" x14ac:dyDescent="0.2">
      <c r="A744" s="301"/>
      <c r="B744" s="302"/>
      <c r="C744" s="301"/>
      <c r="D744" s="301"/>
      <c r="E744" s="301"/>
      <c r="F744" s="301"/>
      <c r="G744" s="301"/>
      <c r="H744" s="267"/>
      <c r="I744" s="678"/>
      <c r="J744" s="678"/>
      <c r="K744" s="678"/>
      <c r="L744" s="678"/>
      <c r="M744" s="678"/>
      <c r="N744" s="678"/>
      <c r="O744" s="678"/>
      <c r="P744" s="678"/>
      <c r="Q744" s="678"/>
      <c r="R744" s="678"/>
      <c r="S744" s="678"/>
      <c r="T744" s="678"/>
      <c r="U744" s="678"/>
      <c r="V744" s="678"/>
      <c r="W744" s="678"/>
      <c r="X744" s="153"/>
      <c r="Y744" s="194"/>
    </row>
    <row r="745" spans="1:25" ht="21.95" customHeight="1" x14ac:dyDescent="0.2">
      <c r="A745" s="301"/>
      <c r="B745" s="302"/>
      <c r="C745" s="301"/>
      <c r="D745" s="301"/>
      <c r="E745" s="301"/>
      <c r="F745" s="301"/>
      <c r="G745" s="301"/>
      <c r="H745" s="266" t="str">
        <f>IF($B$527=3,"Y","")</f>
        <v/>
      </c>
      <c r="I745" s="473" t="s">
        <v>3589</v>
      </c>
      <c r="J745" s="474"/>
      <c r="K745" s="474"/>
      <c r="L745" s="474"/>
      <c r="M745" s="474"/>
      <c r="N745" s="474"/>
      <c r="O745" s="474"/>
      <c r="P745" s="474"/>
      <c r="Q745" s="474"/>
      <c r="R745" s="474"/>
      <c r="S745" s="474"/>
      <c r="T745" s="474"/>
      <c r="U745" s="474"/>
      <c r="V745" s="474"/>
      <c r="W745" s="474"/>
      <c r="X745" s="153"/>
      <c r="Y745" s="194"/>
    </row>
    <row r="746" spans="1:25" ht="21.95" customHeight="1" x14ac:dyDescent="0.2">
      <c r="A746" s="301"/>
      <c r="B746" s="302"/>
      <c r="C746" s="301"/>
      <c r="D746" s="301"/>
      <c r="E746" s="301"/>
      <c r="F746" s="301"/>
      <c r="G746" s="301"/>
      <c r="H746" s="267"/>
      <c r="I746" s="677" t="s">
        <v>3689</v>
      </c>
      <c r="J746" s="678"/>
      <c r="K746" s="678"/>
      <c r="L746" s="678"/>
      <c r="M746" s="678"/>
      <c r="N746" s="678"/>
      <c r="O746" s="678"/>
      <c r="P746" s="678"/>
      <c r="Q746" s="678"/>
      <c r="R746" s="678"/>
      <c r="S746" s="678"/>
      <c r="T746" s="678"/>
      <c r="U746" s="678"/>
      <c r="V746" s="678"/>
      <c r="W746" s="678"/>
      <c r="X746" s="153"/>
      <c r="Y746" s="194"/>
    </row>
    <row r="747" spans="1:25" ht="21.95" customHeight="1" x14ac:dyDescent="0.2">
      <c r="A747" s="301"/>
      <c r="B747" s="302"/>
      <c r="C747" s="301"/>
      <c r="D747" s="301"/>
      <c r="E747" s="301"/>
      <c r="F747" s="301"/>
      <c r="G747" s="301"/>
      <c r="H747" s="267"/>
      <c r="I747" s="678"/>
      <c r="J747" s="678"/>
      <c r="K747" s="678"/>
      <c r="L747" s="678"/>
      <c r="M747" s="678"/>
      <c r="N747" s="678"/>
      <c r="O747" s="678"/>
      <c r="P747" s="678"/>
      <c r="Q747" s="678"/>
      <c r="R747" s="678"/>
      <c r="S747" s="678"/>
      <c r="T747" s="678"/>
      <c r="U747" s="678"/>
      <c r="V747" s="678"/>
      <c r="W747" s="678"/>
      <c r="X747" s="153"/>
      <c r="Y747" s="194"/>
    </row>
    <row r="748" spans="1:25" ht="21.95" customHeight="1" x14ac:dyDescent="0.2">
      <c r="A748" s="301"/>
      <c r="B748" s="302"/>
      <c r="C748" s="301"/>
      <c r="D748" s="301"/>
      <c r="E748" s="301"/>
      <c r="F748" s="301"/>
      <c r="G748" s="301"/>
      <c r="H748" s="266" t="str">
        <f>IF($B$527=4,"Y","")</f>
        <v/>
      </c>
      <c r="I748" s="473" t="s">
        <v>3330</v>
      </c>
      <c r="J748" s="474"/>
      <c r="K748" s="474"/>
      <c r="L748" s="474"/>
      <c r="M748" s="474"/>
      <c r="N748" s="474"/>
      <c r="O748" s="474"/>
      <c r="P748" s="474"/>
      <c r="Q748" s="474"/>
      <c r="R748" s="474"/>
      <c r="S748" s="474"/>
      <c r="T748" s="474"/>
      <c r="U748" s="474"/>
      <c r="V748" s="474"/>
      <c r="W748" s="474"/>
      <c r="X748" s="153"/>
      <c r="Y748" s="194"/>
    </row>
    <row r="749" spans="1:25" ht="21.95" customHeight="1" x14ac:dyDescent="0.2">
      <c r="A749" s="301"/>
      <c r="B749" s="302"/>
      <c r="C749" s="301"/>
      <c r="D749" s="301"/>
      <c r="E749" s="301"/>
      <c r="F749" s="301"/>
      <c r="G749" s="301"/>
      <c r="H749" s="215"/>
      <c r="I749" s="194"/>
      <c r="J749" s="153"/>
      <c r="K749" s="194"/>
      <c r="L749" s="153"/>
      <c r="M749" s="194"/>
      <c r="N749" s="153"/>
      <c r="O749" s="194"/>
      <c r="P749" s="153"/>
      <c r="Q749" s="194"/>
      <c r="R749" s="153"/>
      <c r="S749" s="194"/>
      <c r="T749" s="153"/>
      <c r="U749" s="194"/>
      <c r="V749" s="153"/>
      <c r="W749" s="194"/>
      <c r="X749" s="153"/>
      <c r="Y749" s="194"/>
    </row>
    <row r="750" spans="1:25" ht="21.95" customHeight="1" thickBot="1" x14ac:dyDescent="0.25">
      <c r="A750" s="301"/>
      <c r="B750" s="302"/>
      <c r="C750" s="301"/>
      <c r="D750" s="301"/>
      <c r="E750" s="301"/>
      <c r="F750" s="301"/>
      <c r="G750" s="301"/>
      <c r="H750" s="215"/>
      <c r="I750" s="216" t="s">
        <v>3332</v>
      </c>
      <c r="J750" s="217"/>
      <c r="K750" s="223"/>
      <c r="L750" s="217"/>
      <c r="M750" s="223"/>
      <c r="N750" s="217"/>
      <c r="O750" s="223"/>
      <c r="P750" s="217"/>
      <c r="Q750" s="255"/>
      <c r="R750" s="217"/>
      <c r="S750" s="223"/>
      <c r="T750" s="217"/>
      <c r="U750" s="223"/>
      <c r="V750" s="217"/>
      <c r="W750" s="223"/>
      <c r="X750" s="153"/>
      <c r="Y750" s="194"/>
    </row>
    <row r="751" spans="1:25" ht="21.95" customHeight="1" thickTop="1" x14ac:dyDescent="0.2">
      <c r="A751" s="301"/>
      <c r="B751" s="302"/>
      <c r="C751" s="301"/>
      <c r="D751" s="301"/>
      <c r="E751" s="301"/>
      <c r="F751" s="301"/>
      <c r="G751" s="301"/>
      <c r="H751" s="215"/>
      <c r="I751" s="194"/>
      <c r="J751" s="153"/>
      <c r="K751" s="194"/>
      <c r="L751" s="153"/>
      <c r="M751" s="194"/>
      <c r="N751" s="153"/>
      <c r="O751" s="194"/>
      <c r="P751" s="153"/>
      <c r="Q751" s="194"/>
      <c r="R751" s="153"/>
      <c r="S751" s="194"/>
      <c r="T751" s="153"/>
      <c r="U751" s="194"/>
      <c r="V751" s="153"/>
      <c r="W751" s="194"/>
      <c r="X751" s="153"/>
      <c r="Y751" s="194"/>
    </row>
    <row r="752" spans="1:25" ht="21.95" customHeight="1" x14ac:dyDescent="0.2">
      <c r="A752" s="301"/>
      <c r="B752" s="302"/>
      <c r="C752" s="301"/>
      <c r="D752" s="301"/>
      <c r="E752" s="301"/>
      <c r="F752" s="301"/>
      <c r="G752" s="301"/>
      <c r="H752" s="215"/>
      <c r="I752" s="675" t="s">
        <v>3597</v>
      </c>
      <c r="J752" s="676"/>
      <c r="K752" s="676"/>
      <c r="L752" s="676"/>
      <c r="M752" s="676"/>
      <c r="N752" s="676"/>
      <c r="O752" s="676"/>
      <c r="P752" s="676"/>
      <c r="Q752" s="676"/>
      <c r="R752" s="676"/>
      <c r="S752" s="676"/>
      <c r="T752" s="676"/>
      <c r="U752" s="676"/>
      <c r="V752" s="153"/>
      <c r="W752" s="230"/>
      <c r="X752" s="165">
        <f ca="1">G528</f>
        <v>1</v>
      </c>
      <c r="Y752" s="194"/>
    </row>
    <row r="753" spans="1:25" ht="21.95" customHeight="1" x14ac:dyDescent="0.2">
      <c r="A753" s="301"/>
      <c r="B753" s="302"/>
      <c r="C753" s="301"/>
      <c r="D753" s="301"/>
      <c r="E753" s="301"/>
      <c r="F753" s="301"/>
      <c r="G753" s="301"/>
      <c r="H753" s="215"/>
      <c r="I753" s="509" t="s">
        <v>3690</v>
      </c>
      <c r="J753" s="509"/>
      <c r="K753" s="509"/>
      <c r="L753" s="509"/>
      <c r="M753" s="509"/>
      <c r="N753" s="509"/>
      <c r="O753" s="509"/>
      <c r="P753" s="509"/>
      <c r="Q753" s="509"/>
      <c r="R753" s="509"/>
      <c r="S753" s="509"/>
      <c r="T753" s="509"/>
      <c r="U753" s="509"/>
      <c r="V753" s="509"/>
      <c r="W753" s="509"/>
      <c r="X753" s="153"/>
      <c r="Y753" s="194"/>
    </row>
    <row r="754" spans="1:25" ht="21.95" customHeight="1" x14ac:dyDescent="0.2">
      <c r="A754" s="301"/>
      <c r="B754" s="302"/>
      <c r="C754" s="301"/>
      <c r="D754" s="301"/>
      <c r="E754" s="301"/>
      <c r="F754" s="301"/>
      <c r="G754" s="301"/>
      <c r="H754" s="215"/>
      <c r="I754" s="509"/>
      <c r="J754" s="509"/>
      <c r="K754" s="509"/>
      <c r="L754" s="509"/>
      <c r="M754" s="509"/>
      <c r="N754" s="509"/>
      <c r="O754" s="509"/>
      <c r="P754" s="509"/>
      <c r="Q754" s="509"/>
      <c r="R754" s="509"/>
      <c r="S754" s="509"/>
      <c r="T754" s="509"/>
      <c r="U754" s="509"/>
      <c r="V754" s="509"/>
      <c r="W754" s="509"/>
      <c r="X754" s="153"/>
      <c r="Y754" s="194"/>
    </row>
    <row r="755" spans="1:25" ht="21.95" customHeight="1" x14ac:dyDescent="0.2">
      <c r="A755" s="301"/>
      <c r="B755" s="302"/>
      <c r="C755" s="301"/>
      <c r="D755" s="301"/>
      <c r="E755" s="301"/>
      <c r="F755" s="301"/>
      <c r="G755" s="301"/>
      <c r="H755" s="215"/>
      <c r="I755" s="509"/>
      <c r="J755" s="509"/>
      <c r="K755" s="509"/>
      <c r="L755" s="509"/>
      <c r="M755" s="509"/>
      <c r="N755" s="509"/>
      <c r="O755" s="509"/>
      <c r="P755" s="509"/>
      <c r="Q755" s="509"/>
      <c r="R755" s="509"/>
      <c r="S755" s="509"/>
      <c r="T755" s="509"/>
      <c r="U755" s="509"/>
      <c r="V755" s="509"/>
      <c r="W755" s="509"/>
      <c r="X755" s="153"/>
      <c r="Y755" s="194"/>
    </row>
    <row r="756" spans="1:25" ht="21.95" customHeight="1" x14ac:dyDescent="0.2">
      <c r="A756" s="301"/>
      <c r="B756" s="302"/>
      <c r="C756" s="301"/>
      <c r="D756" s="301"/>
      <c r="E756" s="301"/>
      <c r="F756" s="301"/>
      <c r="G756" s="301"/>
      <c r="H756" s="215"/>
      <c r="I756" s="509"/>
      <c r="J756" s="509"/>
      <c r="K756" s="509"/>
      <c r="L756" s="509"/>
      <c r="M756" s="509"/>
      <c r="N756" s="509"/>
      <c r="O756" s="509"/>
      <c r="P756" s="509"/>
      <c r="Q756" s="509"/>
      <c r="R756" s="509"/>
      <c r="S756" s="509"/>
      <c r="T756" s="509"/>
      <c r="U756" s="509"/>
      <c r="V756" s="509"/>
      <c r="W756" s="509"/>
      <c r="X756" s="153"/>
      <c r="Y756" s="194"/>
    </row>
    <row r="757" spans="1:25" ht="21.95" customHeight="1" x14ac:dyDescent="0.2">
      <c r="A757" s="390"/>
      <c r="B757" s="391"/>
      <c r="C757" s="390"/>
      <c r="D757" s="390"/>
      <c r="E757" s="390"/>
      <c r="F757" s="390"/>
      <c r="G757" s="390"/>
      <c r="H757" s="215"/>
      <c r="I757" s="509"/>
      <c r="J757" s="509"/>
      <c r="K757" s="509"/>
      <c r="L757" s="509"/>
      <c r="M757" s="509"/>
      <c r="N757" s="509"/>
      <c r="O757" s="509"/>
      <c r="P757" s="509"/>
      <c r="Q757" s="509"/>
      <c r="R757" s="509"/>
      <c r="S757" s="509"/>
      <c r="T757" s="509"/>
      <c r="U757" s="509"/>
      <c r="V757" s="509"/>
      <c r="W757" s="509"/>
      <c r="X757" s="153"/>
      <c r="Y757" s="194"/>
    </row>
    <row r="758" spans="1:25" ht="21.95" customHeight="1" x14ac:dyDescent="0.2">
      <c r="A758" s="390"/>
      <c r="B758" s="391"/>
      <c r="C758" s="390"/>
      <c r="D758" s="390"/>
      <c r="E758" s="390"/>
      <c r="F758" s="390"/>
      <c r="G758" s="390"/>
      <c r="H758" s="215"/>
      <c r="I758" s="509"/>
      <c r="J758" s="509"/>
      <c r="K758" s="509"/>
      <c r="L758" s="509"/>
      <c r="M758" s="509"/>
      <c r="N758" s="509"/>
      <c r="O758" s="509"/>
      <c r="P758" s="509"/>
      <c r="Q758" s="509"/>
      <c r="R758" s="509"/>
      <c r="S758" s="509"/>
      <c r="T758" s="509"/>
      <c r="U758" s="509"/>
      <c r="V758" s="509"/>
      <c r="W758" s="509"/>
      <c r="X758" s="153"/>
      <c r="Y758" s="194"/>
    </row>
    <row r="759" spans="1:25" ht="21.95" customHeight="1" x14ac:dyDescent="0.2">
      <c r="A759" s="301"/>
      <c r="B759" s="302"/>
      <c r="C759" s="301"/>
      <c r="D759" s="301"/>
      <c r="E759" s="301"/>
      <c r="F759" s="301"/>
      <c r="G759" s="301"/>
      <c r="H759" s="215"/>
      <c r="I759" s="509"/>
      <c r="J759" s="509"/>
      <c r="K759" s="509"/>
      <c r="L759" s="509"/>
      <c r="M759" s="509"/>
      <c r="N759" s="509"/>
      <c r="O759" s="509"/>
      <c r="P759" s="509"/>
      <c r="Q759" s="509"/>
      <c r="R759" s="509"/>
      <c r="S759" s="509"/>
      <c r="T759" s="509"/>
      <c r="U759" s="509"/>
      <c r="V759" s="509"/>
      <c r="W759" s="509"/>
      <c r="X759" s="153"/>
      <c r="Y759" s="194"/>
    </row>
    <row r="760" spans="1:25" ht="21.95" customHeight="1" x14ac:dyDescent="0.2">
      <c r="A760" s="301"/>
      <c r="B760" s="302"/>
      <c r="C760" s="301"/>
      <c r="D760" s="301"/>
      <c r="E760" s="301"/>
      <c r="F760" s="301"/>
      <c r="G760" s="301"/>
      <c r="H760" s="215"/>
      <c r="I760" s="509"/>
      <c r="J760" s="509"/>
      <c r="K760" s="509"/>
      <c r="L760" s="509"/>
      <c r="M760" s="509"/>
      <c r="N760" s="509"/>
      <c r="O760" s="509"/>
      <c r="P760" s="509"/>
      <c r="Q760" s="509"/>
      <c r="R760" s="509"/>
      <c r="S760" s="509"/>
      <c r="T760" s="509"/>
      <c r="U760" s="509"/>
      <c r="V760" s="509"/>
      <c r="W760" s="509"/>
      <c r="X760" s="153"/>
      <c r="Y760" s="194"/>
    </row>
    <row r="761" spans="1:25" ht="21.95" customHeight="1" x14ac:dyDescent="0.2">
      <c r="A761" s="301"/>
      <c r="B761" s="302"/>
      <c r="C761" s="301"/>
      <c r="D761" s="301"/>
      <c r="E761" s="301"/>
      <c r="F761" s="301"/>
      <c r="G761" s="301"/>
      <c r="H761" s="215"/>
      <c r="I761" s="509"/>
      <c r="J761" s="509"/>
      <c r="K761" s="509"/>
      <c r="L761" s="509"/>
      <c r="M761" s="509"/>
      <c r="N761" s="509"/>
      <c r="O761" s="509"/>
      <c r="P761" s="509"/>
      <c r="Q761" s="509"/>
      <c r="R761" s="509"/>
      <c r="S761" s="509"/>
      <c r="T761" s="509"/>
      <c r="U761" s="509"/>
      <c r="V761" s="509"/>
      <c r="W761" s="509"/>
      <c r="X761" s="153"/>
      <c r="Y761" s="194"/>
    </row>
    <row r="762" spans="1:25" ht="21.95" customHeight="1" x14ac:dyDescent="0.2">
      <c r="A762" s="301"/>
      <c r="B762" s="302"/>
      <c r="C762" s="301"/>
      <c r="D762" s="301"/>
      <c r="E762" s="301"/>
      <c r="F762" s="301"/>
      <c r="G762" s="301"/>
      <c r="H762" s="215"/>
      <c r="I762" s="509"/>
      <c r="J762" s="509"/>
      <c r="K762" s="509"/>
      <c r="L762" s="509"/>
      <c r="M762" s="509"/>
      <c r="N762" s="509"/>
      <c r="O762" s="509"/>
      <c r="P762" s="509"/>
      <c r="Q762" s="509"/>
      <c r="R762" s="509"/>
      <c r="S762" s="509"/>
      <c r="T762" s="509"/>
      <c r="U762" s="509"/>
      <c r="V762" s="509"/>
      <c r="W762" s="509"/>
      <c r="X762" s="153"/>
      <c r="Y762" s="194"/>
    </row>
    <row r="763" spans="1:25" ht="21.95" customHeight="1" x14ac:dyDescent="0.2">
      <c r="A763" s="301"/>
      <c r="B763" s="302"/>
      <c r="C763" s="301"/>
      <c r="D763" s="301"/>
      <c r="E763" s="301"/>
      <c r="F763" s="301"/>
      <c r="G763" s="301"/>
      <c r="H763" s="215"/>
      <c r="I763" s="226" t="s">
        <v>3647</v>
      </c>
      <c r="J763" s="379"/>
      <c r="K763" s="379"/>
      <c r="L763" s="379"/>
      <c r="M763" s="379"/>
      <c r="N763" s="379"/>
      <c r="O763" s="379"/>
      <c r="P763" s="379"/>
      <c r="Q763" s="379"/>
      <c r="R763" s="379"/>
      <c r="S763" s="379"/>
      <c r="T763" s="379"/>
      <c r="U763" s="379"/>
      <c r="V763" s="379"/>
      <c r="W763" s="175" t="str">
        <f>SUBSTITUTE(SUBSTITUTE(SUBSTITUTE(IF(LEN(B529)&gt;F529,CONFIG_CHAR_LIMIT_TEMPLATE_ERR,CONFIG_CHAR_LIMIT_TEMPLATE),"[diff]",ABS(LEN(B529)-F529)),"[limit]",F529),"[used]",LEN(B529))</f>
        <v>1000 character(s) remaining</v>
      </c>
      <c r="X763" s="153"/>
      <c r="Y763" s="194"/>
    </row>
    <row r="764" spans="1:25" ht="21.95" customHeight="1" x14ac:dyDescent="0.2">
      <c r="A764" s="301"/>
      <c r="B764" s="302"/>
      <c r="C764" s="301"/>
      <c r="D764" s="301"/>
      <c r="E764" s="301"/>
      <c r="F764" s="301"/>
      <c r="G764" s="301"/>
      <c r="H764" s="215"/>
      <c r="I764" s="500"/>
      <c r="J764" s="652"/>
      <c r="K764" s="652"/>
      <c r="L764" s="652"/>
      <c r="M764" s="652"/>
      <c r="N764" s="652"/>
      <c r="O764" s="652"/>
      <c r="P764" s="652"/>
      <c r="Q764" s="652"/>
      <c r="R764" s="652"/>
      <c r="S764" s="652"/>
      <c r="T764" s="652"/>
      <c r="U764" s="652"/>
      <c r="V764" s="652"/>
      <c r="W764" s="653"/>
      <c r="X764" s="165" t="str">
        <f ca="1">G529</f>
        <v/>
      </c>
      <c r="Y764" s="194"/>
    </row>
    <row r="765" spans="1:25" ht="21.95" customHeight="1" x14ac:dyDescent="0.2">
      <c r="A765" s="301"/>
      <c r="B765" s="302"/>
      <c r="C765" s="301"/>
      <c r="D765" s="301"/>
      <c r="E765" s="301"/>
      <c r="F765" s="301"/>
      <c r="G765" s="301"/>
      <c r="H765" s="215"/>
      <c r="I765" s="654"/>
      <c r="J765" s="655"/>
      <c r="K765" s="655"/>
      <c r="L765" s="655"/>
      <c r="M765" s="655"/>
      <c r="N765" s="655"/>
      <c r="O765" s="655"/>
      <c r="P765" s="655"/>
      <c r="Q765" s="655"/>
      <c r="R765" s="655"/>
      <c r="S765" s="655"/>
      <c r="T765" s="655"/>
      <c r="U765" s="655"/>
      <c r="V765" s="655"/>
      <c r="W765" s="656"/>
      <c r="X765" s="153"/>
      <c r="Y765" s="194"/>
    </row>
    <row r="766" spans="1:25" ht="21.95" customHeight="1" x14ac:dyDescent="0.2">
      <c r="A766" s="301"/>
      <c r="B766" s="302"/>
      <c r="C766" s="301"/>
      <c r="D766" s="301"/>
      <c r="E766" s="301"/>
      <c r="F766" s="301"/>
      <c r="G766" s="301"/>
      <c r="H766" s="215"/>
      <c r="I766" s="657"/>
      <c r="J766" s="658"/>
      <c r="K766" s="658"/>
      <c r="L766" s="658"/>
      <c r="M766" s="658"/>
      <c r="N766" s="658"/>
      <c r="O766" s="658"/>
      <c r="P766" s="658"/>
      <c r="Q766" s="658"/>
      <c r="R766" s="658"/>
      <c r="S766" s="658"/>
      <c r="T766" s="658"/>
      <c r="U766" s="658"/>
      <c r="V766" s="658"/>
      <c r="W766" s="659"/>
      <c r="X766" s="153"/>
      <c r="Y766" s="194"/>
    </row>
    <row r="767" spans="1:25" ht="21.95" customHeight="1" x14ac:dyDescent="0.2">
      <c r="A767" s="301"/>
      <c r="B767" s="302"/>
      <c r="C767" s="301"/>
      <c r="D767" s="301"/>
      <c r="E767" s="301"/>
      <c r="F767" s="301"/>
      <c r="G767" s="301"/>
      <c r="H767" s="215"/>
      <c r="I767" s="379"/>
      <c r="J767" s="379"/>
      <c r="K767" s="379"/>
      <c r="L767" s="379"/>
      <c r="M767" s="379"/>
      <c r="N767" s="379"/>
      <c r="O767" s="379"/>
      <c r="P767" s="379"/>
      <c r="Q767" s="379"/>
      <c r="R767" s="379"/>
      <c r="S767" s="379"/>
      <c r="T767" s="379"/>
      <c r="U767" s="379"/>
      <c r="V767" s="379"/>
      <c r="W767" s="379"/>
      <c r="X767" s="153"/>
      <c r="Y767" s="194"/>
    </row>
    <row r="768" spans="1:25" ht="21.95" customHeight="1" x14ac:dyDescent="0.2">
      <c r="A768" s="301"/>
      <c r="B768" s="302"/>
      <c r="C768" s="301"/>
      <c r="D768" s="301"/>
      <c r="E768" s="301"/>
      <c r="F768" s="301"/>
      <c r="G768" s="301"/>
      <c r="H768" s="215"/>
      <c r="I768" s="675" t="s">
        <v>3598</v>
      </c>
      <c r="J768" s="676"/>
      <c r="K768" s="676"/>
      <c r="L768" s="676"/>
      <c r="M768" s="676"/>
      <c r="N768" s="676"/>
      <c r="O768" s="676"/>
      <c r="P768" s="676"/>
      <c r="Q768" s="676"/>
      <c r="R768" s="676"/>
      <c r="S768" s="676"/>
      <c r="T768" s="676"/>
      <c r="U768" s="676"/>
      <c r="V768" s="153"/>
      <c r="W768" s="230"/>
      <c r="X768" s="165">
        <f ca="1">G530</f>
        <v>1</v>
      </c>
      <c r="Y768" s="194"/>
    </row>
    <row r="769" spans="1:25" ht="21.95" customHeight="1" x14ac:dyDescent="0.2">
      <c r="A769" s="301"/>
      <c r="B769" s="302"/>
      <c r="C769" s="301"/>
      <c r="D769" s="301"/>
      <c r="E769" s="301"/>
      <c r="F769" s="301"/>
      <c r="G769" s="301"/>
      <c r="H769" s="215"/>
      <c r="I769" s="509" t="s">
        <v>3646</v>
      </c>
      <c r="J769" s="509"/>
      <c r="K769" s="509"/>
      <c r="L769" s="509"/>
      <c r="M769" s="509"/>
      <c r="N769" s="509"/>
      <c r="O769" s="509"/>
      <c r="P769" s="509"/>
      <c r="Q769" s="509"/>
      <c r="R769" s="509"/>
      <c r="S769" s="509"/>
      <c r="T769" s="509"/>
      <c r="U769" s="509"/>
      <c r="V769" s="509"/>
      <c r="W769" s="509"/>
      <c r="X769" s="153"/>
      <c r="Y769" s="194"/>
    </row>
    <row r="770" spans="1:25" ht="21.95" customHeight="1" x14ac:dyDescent="0.2">
      <c r="A770" s="301"/>
      <c r="B770" s="302"/>
      <c r="C770" s="301"/>
      <c r="D770" s="301"/>
      <c r="E770" s="301"/>
      <c r="F770" s="301"/>
      <c r="G770" s="301"/>
      <c r="H770" s="215"/>
      <c r="I770" s="509"/>
      <c r="J770" s="509"/>
      <c r="K770" s="509"/>
      <c r="L770" s="509"/>
      <c r="M770" s="509"/>
      <c r="N770" s="509"/>
      <c r="O770" s="509"/>
      <c r="P770" s="509"/>
      <c r="Q770" s="509"/>
      <c r="R770" s="509"/>
      <c r="S770" s="509"/>
      <c r="T770" s="509"/>
      <c r="U770" s="509"/>
      <c r="V770" s="509"/>
      <c r="W770" s="509"/>
      <c r="X770" s="153"/>
      <c r="Y770" s="194"/>
    </row>
    <row r="771" spans="1:25" ht="21.95" customHeight="1" x14ac:dyDescent="0.2">
      <c r="A771" s="301"/>
      <c r="B771" s="302"/>
      <c r="C771" s="301"/>
      <c r="D771" s="301"/>
      <c r="E771" s="301"/>
      <c r="F771" s="301"/>
      <c r="G771" s="301"/>
      <c r="H771" s="215"/>
      <c r="I771" s="509"/>
      <c r="J771" s="509"/>
      <c r="K771" s="509"/>
      <c r="L771" s="509"/>
      <c r="M771" s="509"/>
      <c r="N771" s="509"/>
      <c r="O771" s="509"/>
      <c r="P771" s="509"/>
      <c r="Q771" s="509"/>
      <c r="R771" s="509"/>
      <c r="S771" s="509"/>
      <c r="T771" s="509"/>
      <c r="U771" s="509"/>
      <c r="V771" s="509"/>
      <c r="W771" s="509"/>
      <c r="X771" s="153"/>
      <c r="Y771" s="194"/>
    </row>
    <row r="772" spans="1:25" ht="21.95" customHeight="1" x14ac:dyDescent="0.2">
      <c r="A772" s="301"/>
      <c r="B772" s="302"/>
      <c r="C772" s="301"/>
      <c r="D772" s="301"/>
      <c r="E772" s="301"/>
      <c r="F772" s="301"/>
      <c r="G772" s="301"/>
      <c r="H772" s="215"/>
      <c r="I772" s="509"/>
      <c r="J772" s="509"/>
      <c r="K772" s="509"/>
      <c r="L772" s="509"/>
      <c r="M772" s="509"/>
      <c r="N772" s="509"/>
      <c r="O772" s="509"/>
      <c r="P772" s="509"/>
      <c r="Q772" s="509"/>
      <c r="R772" s="509"/>
      <c r="S772" s="509"/>
      <c r="T772" s="509"/>
      <c r="U772" s="509"/>
      <c r="V772" s="509"/>
      <c r="W772" s="509"/>
      <c r="X772" s="153"/>
      <c r="Y772" s="194"/>
    </row>
    <row r="773" spans="1:25" ht="21.95" customHeight="1" x14ac:dyDescent="0.2">
      <c r="A773" s="301"/>
      <c r="B773" s="302"/>
      <c r="C773" s="301"/>
      <c r="D773" s="301"/>
      <c r="E773" s="301"/>
      <c r="F773" s="301"/>
      <c r="G773" s="301"/>
      <c r="H773" s="215"/>
      <c r="I773" s="509"/>
      <c r="J773" s="509"/>
      <c r="K773" s="509"/>
      <c r="L773" s="509"/>
      <c r="M773" s="509"/>
      <c r="N773" s="509"/>
      <c r="O773" s="509"/>
      <c r="P773" s="509"/>
      <c r="Q773" s="509"/>
      <c r="R773" s="509"/>
      <c r="S773" s="509"/>
      <c r="T773" s="509"/>
      <c r="U773" s="509"/>
      <c r="V773" s="509"/>
      <c r="W773" s="509"/>
      <c r="X773" s="153"/>
      <c r="Y773" s="194"/>
    </row>
    <row r="774" spans="1:25" ht="21.95" customHeight="1" x14ac:dyDescent="0.2">
      <c r="A774" s="301"/>
      <c r="B774" s="302"/>
      <c r="C774" s="301"/>
      <c r="D774" s="301"/>
      <c r="E774" s="301"/>
      <c r="F774" s="301"/>
      <c r="G774" s="301"/>
      <c r="H774" s="215"/>
      <c r="I774" s="509"/>
      <c r="J774" s="509"/>
      <c r="K774" s="509"/>
      <c r="L774" s="509"/>
      <c r="M774" s="509"/>
      <c r="N774" s="509"/>
      <c r="O774" s="509"/>
      <c r="P774" s="509"/>
      <c r="Q774" s="509"/>
      <c r="R774" s="509"/>
      <c r="S774" s="509"/>
      <c r="T774" s="509"/>
      <c r="U774" s="509"/>
      <c r="V774" s="509"/>
      <c r="W774" s="509"/>
      <c r="X774" s="153"/>
      <c r="Y774" s="194"/>
    </row>
    <row r="775" spans="1:25" ht="21.95" customHeight="1" x14ac:dyDescent="0.2">
      <c r="A775" s="301"/>
      <c r="B775" s="302"/>
      <c r="C775" s="301"/>
      <c r="D775" s="301"/>
      <c r="E775" s="301"/>
      <c r="F775" s="301"/>
      <c r="G775" s="301"/>
      <c r="H775" s="215"/>
      <c r="I775" s="509"/>
      <c r="J775" s="509"/>
      <c r="K775" s="509"/>
      <c r="L775" s="509"/>
      <c r="M775" s="509"/>
      <c r="N775" s="509"/>
      <c r="O775" s="509"/>
      <c r="P775" s="509"/>
      <c r="Q775" s="509"/>
      <c r="R775" s="509"/>
      <c r="S775" s="509"/>
      <c r="T775" s="509"/>
      <c r="U775" s="509"/>
      <c r="V775" s="509"/>
      <c r="W775" s="509"/>
      <c r="X775" s="153"/>
      <c r="Y775" s="194"/>
    </row>
    <row r="776" spans="1:25" ht="21.95" customHeight="1" x14ac:dyDescent="0.2">
      <c r="A776" s="301"/>
      <c r="B776" s="302"/>
      <c r="C776" s="301"/>
      <c r="D776" s="301"/>
      <c r="E776" s="301"/>
      <c r="F776" s="301"/>
      <c r="G776" s="301"/>
      <c r="H776" s="215"/>
      <c r="I776" s="509"/>
      <c r="J776" s="509"/>
      <c r="K776" s="509"/>
      <c r="L776" s="509"/>
      <c r="M776" s="509"/>
      <c r="N776" s="509"/>
      <c r="O776" s="509"/>
      <c r="P776" s="509"/>
      <c r="Q776" s="509"/>
      <c r="R776" s="509"/>
      <c r="S776" s="509"/>
      <c r="T776" s="509"/>
      <c r="U776" s="509"/>
      <c r="V776" s="509"/>
      <c r="W776" s="509"/>
      <c r="X776" s="153"/>
      <c r="Y776" s="194"/>
    </row>
    <row r="777" spans="1:25" ht="21.95" customHeight="1" x14ac:dyDescent="0.2">
      <c r="A777" s="301"/>
      <c r="B777" s="302"/>
      <c r="C777" s="301"/>
      <c r="D777" s="301"/>
      <c r="E777" s="301"/>
      <c r="F777" s="301"/>
      <c r="G777" s="301"/>
      <c r="H777" s="215"/>
      <c r="I777" s="509"/>
      <c r="J777" s="509"/>
      <c r="K777" s="509"/>
      <c r="L777" s="509"/>
      <c r="M777" s="509"/>
      <c r="N777" s="509"/>
      <c r="O777" s="509"/>
      <c r="P777" s="509"/>
      <c r="Q777" s="509"/>
      <c r="R777" s="509"/>
      <c r="S777" s="509"/>
      <c r="T777" s="509"/>
      <c r="U777" s="509"/>
      <c r="V777" s="509"/>
      <c r="W777" s="509"/>
      <c r="X777" s="153"/>
      <c r="Y777" s="194"/>
    </row>
    <row r="778" spans="1:25" ht="21.95" customHeight="1" x14ac:dyDescent="0.2">
      <c r="A778" s="301"/>
      <c r="B778" s="302"/>
      <c r="C778" s="301"/>
      <c r="D778" s="301"/>
      <c r="E778" s="301"/>
      <c r="F778" s="301"/>
      <c r="G778" s="301"/>
      <c r="H778" s="215"/>
      <c r="I778" s="509"/>
      <c r="J778" s="509"/>
      <c r="K778" s="509"/>
      <c r="L778" s="509"/>
      <c r="M778" s="509"/>
      <c r="N778" s="509"/>
      <c r="O778" s="509"/>
      <c r="P778" s="509"/>
      <c r="Q778" s="509"/>
      <c r="R778" s="509"/>
      <c r="S778" s="509"/>
      <c r="T778" s="509"/>
      <c r="U778" s="509"/>
      <c r="V778" s="509"/>
      <c r="W778" s="509"/>
      <c r="X778" s="153"/>
      <c r="Y778" s="194"/>
    </row>
    <row r="779" spans="1:25" ht="21.95" customHeight="1" x14ac:dyDescent="0.2">
      <c r="A779" s="301"/>
      <c r="B779" s="302"/>
      <c r="C779" s="301"/>
      <c r="D779" s="301"/>
      <c r="E779" s="301"/>
      <c r="F779" s="301"/>
      <c r="G779" s="301"/>
      <c r="H779" s="215"/>
      <c r="I779" s="509"/>
      <c r="J779" s="509"/>
      <c r="K779" s="509"/>
      <c r="L779" s="509"/>
      <c r="M779" s="509"/>
      <c r="N779" s="509"/>
      <c r="O779" s="509"/>
      <c r="P779" s="509"/>
      <c r="Q779" s="509"/>
      <c r="R779" s="509"/>
      <c r="S779" s="509"/>
      <c r="T779" s="509"/>
      <c r="U779" s="509"/>
      <c r="V779" s="509"/>
      <c r="W779" s="509"/>
      <c r="X779" s="153"/>
      <c r="Y779" s="194"/>
    </row>
    <row r="780" spans="1:25" ht="21.95" customHeight="1" x14ac:dyDescent="0.2">
      <c r="A780" s="301"/>
      <c r="B780" s="302"/>
      <c r="C780" s="301"/>
      <c r="D780" s="301"/>
      <c r="E780" s="301"/>
      <c r="F780" s="301"/>
      <c r="G780" s="301"/>
      <c r="H780" s="215"/>
      <c r="I780" s="509"/>
      <c r="J780" s="509"/>
      <c r="K780" s="509"/>
      <c r="L780" s="509"/>
      <c r="M780" s="509"/>
      <c r="N780" s="509"/>
      <c r="O780" s="509"/>
      <c r="P780" s="509"/>
      <c r="Q780" s="509"/>
      <c r="R780" s="509"/>
      <c r="S780" s="509"/>
      <c r="T780" s="509"/>
      <c r="U780" s="509"/>
      <c r="V780" s="509"/>
      <c r="W780" s="509"/>
      <c r="X780" s="153"/>
      <c r="Y780" s="194"/>
    </row>
    <row r="781" spans="1:25" ht="21.95" customHeight="1" x14ac:dyDescent="0.2">
      <c r="A781" s="301"/>
      <c r="B781" s="302"/>
      <c r="C781" s="301"/>
      <c r="D781" s="301"/>
      <c r="E781" s="301"/>
      <c r="F781" s="301"/>
      <c r="G781" s="301"/>
      <c r="H781" s="215"/>
      <c r="I781" s="509"/>
      <c r="J781" s="509"/>
      <c r="K781" s="509"/>
      <c r="L781" s="509"/>
      <c r="M781" s="509"/>
      <c r="N781" s="509"/>
      <c r="O781" s="509"/>
      <c r="P781" s="509"/>
      <c r="Q781" s="509"/>
      <c r="R781" s="509"/>
      <c r="S781" s="509"/>
      <c r="T781" s="509"/>
      <c r="U781" s="509"/>
      <c r="V781" s="509"/>
      <c r="W781" s="509"/>
      <c r="X781" s="153"/>
      <c r="Y781" s="194"/>
    </row>
    <row r="782" spans="1:25" ht="21.95" customHeight="1" x14ac:dyDescent="0.2">
      <c r="A782" s="301"/>
      <c r="B782" s="302"/>
      <c r="C782" s="301"/>
      <c r="D782" s="301"/>
      <c r="E782" s="301"/>
      <c r="F782" s="301"/>
      <c r="G782" s="301"/>
      <c r="H782" s="215"/>
      <c r="I782" s="509"/>
      <c r="J782" s="509"/>
      <c r="K782" s="509"/>
      <c r="L782" s="509"/>
      <c r="M782" s="509"/>
      <c r="N782" s="509"/>
      <c r="O782" s="509"/>
      <c r="P782" s="509"/>
      <c r="Q782" s="509"/>
      <c r="R782" s="509"/>
      <c r="S782" s="509"/>
      <c r="T782" s="509"/>
      <c r="U782" s="509"/>
      <c r="V782" s="509"/>
      <c r="W782" s="509"/>
      <c r="X782" s="153"/>
      <c r="Y782" s="194"/>
    </row>
    <row r="783" spans="1:25" ht="21.95" customHeight="1" x14ac:dyDescent="0.2">
      <c r="A783" s="301"/>
      <c r="B783" s="302"/>
      <c r="C783" s="301"/>
      <c r="D783" s="301"/>
      <c r="E783" s="301"/>
      <c r="F783" s="301"/>
      <c r="G783" s="301"/>
      <c r="H783" s="215"/>
      <c r="I783" s="226" t="s">
        <v>3648</v>
      </c>
      <c r="J783" s="379"/>
      <c r="K783" s="379"/>
      <c r="L783" s="379"/>
      <c r="M783" s="379"/>
      <c r="N783" s="379"/>
      <c r="O783" s="379"/>
      <c r="P783" s="379"/>
      <c r="Q783" s="379"/>
      <c r="R783" s="379"/>
      <c r="S783" s="379"/>
      <c r="T783" s="379"/>
      <c r="U783" s="379"/>
      <c r="V783" s="379"/>
      <c r="W783" s="175" t="str">
        <f>SUBSTITUTE(SUBSTITUTE(SUBSTITUTE(IF(LEN(B531)&gt;F531,CONFIG_CHAR_LIMIT_TEMPLATE_ERR,CONFIG_CHAR_LIMIT_TEMPLATE),"[diff]",ABS(LEN(B531)-F531)),"[limit]",F531),"[used]",LEN(B531))</f>
        <v>1000 character(s) remaining</v>
      </c>
      <c r="X783" s="153"/>
      <c r="Y783" s="194"/>
    </row>
    <row r="784" spans="1:25" ht="21.95" customHeight="1" x14ac:dyDescent="0.2">
      <c r="A784" s="301"/>
      <c r="B784" s="302"/>
      <c r="C784" s="301"/>
      <c r="D784" s="301"/>
      <c r="E784" s="301"/>
      <c r="F784" s="301"/>
      <c r="G784" s="301"/>
      <c r="H784" s="215"/>
      <c r="I784" s="500"/>
      <c r="J784" s="652"/>
      <c r="K784" s="652"/>
      <c r="L784" s="652"/>
      <c r="M784" s="652"/>
      <c r="N784" s="652"/>
      <c r="O784" s="652"/>
      <c r="P784" s="652"/>
      <c r="Q784" s="652"/>
      <c r="R784" s="652"/>
      <c r="S784" s="652"/>
      <c r="T784" s="652"/>
      <c r="U784" s="652"/>
      <c r="V784" s="652"/>
      <c r="W784" s="653"/>
      <c r="X784" s="165" t="str">
        <f ca="1">G531</f>
        <v/>
      </c>
      <c r="Y784" s="194"/>
    </row>
    <row r="785" spans="1:25" ht="21.95" customHeight="1" x14ac:dyDescent="0.2">
      <c r="A785" s="301"/>
      <c r="B785" s="302"/>
      <c r="C785" s="301"/>
      <c r="D785" s="301"/>
      <c r="E785" s="301"/>
      <c r="F785" s="301"/>
      <c r="G785" s="301"/>
      <c r="H785" s="215"/>
      <c r="I785" s="654"/>
      <c r="J785" s="655"/>
      <c r="K785" s="655"/>
      <c r="L785" s="655"/>
      <c r="M785" s="655"/>
      <c r="N785" s="655"/>
      <c r="O785" s="655"/>
      <c r="P785" s="655"/>
      <c r="Q785" s="655"/>
      <c r="R785" s="655"/>
      <c r="S785" s="655"/>
      <c r="T785" s="655"/>
      <c r="U785" s="655"/>
      <c r="V785" s="655"/>
      <c r="W785" s="656"/>
      <c r="X785" s="153"/>
      <c r="Y785" s="194"/>
    </row>
    <row r="786" spans="1:25" ht="21.95" customHeight="1" x14ac:dyDescent="0.2">
      <c r="A786" s="301"/>
      <c r="B786" s="302"/>
      <c r="C786" s="301"/>
      <c r="D786" s="301"/>
      <c r="E786" s="301"/>
      <c r="F786" s="301"/>
      <c r="G786" s="301"/>
      <c r="H786" s="215"/>
      <c r="I786" s="657"/>
      <c r="J786" s="658"/>
      <c r="K786" s="658"/>
      <c r="L786" s="658"/>
      <c r="M786" s="658"/>
      <c r="N786" s="658"/>
      <c r="O786" s="658"/>
      <c r="P786" s="658"/>
      <c r="Q786" s="658"/>
      <c r="R786" s="658"/>
      <c r="S786" s="658"/>
      <c r="T786" s="658"/>
      <c r="U786" s="658"/>
      <c r="V786" s="658"/>
      <c r="W786" s="659"/>
      <c r="X786" s="153"/>
      <c r="Y786" s="194"/>
    </row>
    <row r="787" spans="1:25" ht="21.95" customHeight="1" x14ac:dyDescent="0.2">
      <c r="A787" s="301"/>
      <c r="B787" s="302"/>
      <c r="C787" s="301"/>
      <c r="D787" s="301"/>
      <c r="E787" s="301"/>
      <c r="F787" s="301"/>
      <c r="G787" s="301"/>
      <c r="H787" s="215"/>
      <c r="I787" s="193"/>
      <c r="J787" s="193"/>
      <c r="K787" s="193"/>
      <c r="L787" s="193"/>
      <c r="M787" s="193"/>
      <c r="N787" s="193"/>
      <c r="O787" s="193"/>
      <c r="P787" s="193"/>
      <c r="Q787" s="193"/>
      <c r="R787" s="193"/>
      <c r="S787" s="193"/>
      <c r="T787" s="193"/>
      <c r="U787" s="193"/>
      <c r="V787" s="193"/>
      <c r="W787" s="193"/>
      <c r="X787" s="153"/>
      <c r="Y787" s="194"/>
    </row>
    <row r="788" spans="1:25" ht="21.95" customHeight="1" thickBot="1" x14ac:dyDescent="0.25">
      <c r="A788" s="301"/>
      <c r="B788" s="302"/>
      <c r="C788" s="301"/>
      <c r="D788" s="301"/>
      <c r="E788" s="301"/>
      <c r="F788" s="301"/>
      <c r="G788" s="301"/>
      <c r="H788" s="215"/>
      <c r="I788" s="216" t="s">
        <v>3333</v>
      </c>
      <c r="J788" s="217"/>
      <c r="K788" s="223"/>
      <c r="L788" s="217"/>
      <c r="M788" s="223"/>
      <c r="N788" s="217"/>
      <c r="O788" s="223"/>
      <c r="P788" s="217"/>
      <c r="Q788" s="255"/>
      <c r="R788" s="217"/>
      <c r="S788" s="223"/>
      <c r="T788" s="217"/>
      <c r="U788" s="223"/>
      <c r="V788" s="217"/>
      <c r="W788" s="223"/>
      <c r="X788" s="153"/>
      <c r="Y788" s="194"/>
    </row>
    <row r="789" spans="1:25" ht="21.95" customHeight="1" thickTop="1" x14ac:dyDescent="0.2">
      <c r="A789" s="301"/>
      <c r="B789" s="302"/>
      <c r="C789" s="301"/>
      <c r="D789" s="301"/>
      <c r="E789" s="301"/>
      <c r="F789" s="301"/>
      <c r="G789" s="301"/>
      <c r="H789" s="215"/>
      <c r="I789" s="194"/>
      <c r="J789" s="153"/>
      <c r="K789" s="194"/>
      <c r="L789" s="153"/>
      <c r="M789" s="194"/>
      <c r="N789" s="153"/>
      <c r="O789" s="194"/>
      <c r="P789" s="153"/>
      <c r="Q789" s="194"/>
      <c r="R789" s="153"/>
      <c r="S789" s="194"/>
      <c r="T789" s="153"/>
      <c r="U789" s="194"/>
      <c r="V789" s="153"/>
      <c r="W789" s="194"/>
      <c r="X789" s="153"/>
      <c r="Y789" s="194"/>
    </row>
    <row r="790" spans="1:25" ht="21.95" customHeight="1" x14ac:dyDescent="0.2">
      <c r="A790" s="301"/>
      <c r="B790" s="302"/>
      <c r="C790" s="301"/>
      <c r="D790" s="301"/>
      <c r="E790" s="301"/>
      <c r="F790" s="301"/>
      <c r="G790" s="301"/>
      <c r="H790" s="152"/>
      <c r="I790" s="681" t="s">
        <v>3720</v>
      </c>
      <c r="J790" s="682"/>
      <c r="K790" s="682"/>
      <c r="L790" s="682"/>
      <c r="M790" s="682"/>
      <c r="N790" s="682"/>
      <c r="O790" s="682"/>
      <c r="P790" s="682"/>
      <c r="Q790" s="682"/>
      <c r="R790" s="682"/>
      <c r="S790" s="682"/>
      <c r="T790" s="682"/>
      <c r="U790" s="682"/>
      <c r="V790" s="682"/>
      <c r="W790" s="682"/>
      <c r="X790" s="173">
        <f ca="1">G532</f>
        <v>1</v>
      </c>
      <c r="Y790" s="194"/>
    </row>
    <row r="791" spans="1:25" ht="21.95" customHeight="1" x14ac:dyDescent="0.2">
      <c r="A791" s="301"/>
      <c r="B791" s="302"/>
      <c r="C791" s="301"/>
      <c r="D791" s="301"/>
      <c r="E791" s="301"/>
      <c r="F791" s="301"/>
      <c r="G791" s="301"/>
      <c r="H791" s="268" t="str">
        <f>IF($B$532=1,"Y","")</f>
        <v/>
      </c>
      <c r="I791" s="714" t="s">
        <v>3715</v>
      </c>
      <c r="J791" s="715"/>
      <c r="K791" s="715"/>
      <c r="L791" s="715"/>
      <c r="M791" s="715"/>
      <c r="N791" s="715"/>
      <c r="O791" s="715"/>
      <c r="P791" s="715"/>
      <c r="Q791" s="715"/>
      <c r="R791" s="715"/>
      <c r="S791" s="715"/>
      <c r="T791" s="715"/>
      <c r="U791" s="715"/>
      <c r="V791" s="715"/>
      <c r="W791" s="715"/>
      <c r="X791" s="153"/>
      <c r="Y791" s="194"/>
    </row>
    <row r="792" spans="1:25" ht="21.95" customHeight="1" x14ac:dyDescent="0.2">
      <c r="A792" s="301"/>
      <c r="B792" s="302"/>
      <c r="C792" s="301"/>
      <c r="D792" s="301"/>
      <c r="E792" s="301"/>
      <c r="F792" s="301"/>
      <c r="G792" s="301"/>
      <c r="H792" s="267"/>
      <c r="I792" s="715"/>
      <c r="J792" s="715"/>
      <c r="K792" s="715"/>
      <c r="L792" s="715"/>
      <c r="M792" s="715"/>
      <c r="N792" s="715"/>
      <c r="O792" s="715"/>
      <c r="P792" s="715"/>
      <c r="Q792" s="715"/>
      <c r="R792" s="715"/>
      <c r="S792" s="715"/>
      <c r="T792" s="715"/>
      <c r="U792" s="715"/>
      <c r="V792" s="715"/>
      <c r="W792" s="715"/>
      <c r="X792" s="153"/>
      <c r="Y792" s="194"/>
    </row>
    <row r="793" spans="1:25" ht="21.95" customHeight="1" x14ac:dyDescent="0.2">
      <c r="A793" s="301"/>
      <c r="B793" s="302"/>
      <c r="C793" s="301"/>
      <c r="D793" s="301"/>
      <c r="E793" s="301"/>
      <c r="F793" s="301"/>
      <c r="G793" s="301"/>
      <c r="H793" s="267"/>
      <c r="I793" s="677" t="s">
        <v>3334</v>
      </c>
      <c r="J793" s="678"/>
      <c r="K793" s="678"/>
      <c r="L793" s="678"/>
      <c r="M793" s="678"/>
      <c r="N793" s="678"/>
      <c r="O793" s="678"/>
      <c r="P793" s="678"/>
      <c r="Q793" s="678"/>
      <c r="R793" s="678"/>
      <c r="S793" s="678"/>
      <c r="T793" s="678"/>
      <c r="U793" s="678"/>
      <c r="V793" s="678"/>
      <c r="W793" s="678"/>
      <c r="X793" s="153"/>
      <c r="Y793" s="194"/>
    </row>
    <row r="794" spans="1:25" ht="21.95" customHeight="1" x14ac:dyDescent="0.2">
      <c r="A794" s="301"/>
      <c r="B794" s="302"/>
      <c r="C794" s="301"/>
      <c r="D794" s="301"/>
      <c r="E794" s="301"/>
      <c r="F794" s="301"/>
      <c r="G794" s="301"/>
      <c r="H794" s="267"/>
      <c r="I794" s="678"/>
      <c r="J794" s="678"/>
      <c r="K794" s="678"/>
      <c r="L794" s="678"/>
      <c r="M794" s="678"/>
      <c r="N794" s="678"/>
      <c r="O794" s="678"/>
      <c r="P794" s="678"/>
      <c r="Q794" s="678"/>
      <c r="R794" s="678"/>
      <c r="S794" s="678"/>
      <c r="T794" s="678"/>
      <c r="U794" s="678"/>
      <c r="V794" s="678"/>
      <c r="W794" s="678"/>
      <c r="X794" s="153"/>
      <c r="Y794" s="194"/>
    </row>
    <row r="795" spans="1:25" ht="21.95" customHeight="1" x14ac:dyDescent="0.2">
      <c r="A795" s="301"/>
      <c r="B795" s="302"/>
      <c r="C795" s="301"/>
      <c r="D795" s="301"/>
      <c r="E795" s="301"/>
      <c r="F795" s="301"/>
      <c r="G795" s="301"/>
      <c r="H795" s="266" t="str">
        <f>IF($B$532=2,"Y","")</f>
        <v/>
      </c>
      <c r="I795" s="714" t="s">
        <v>3716</v>
      </c>
      <c r="J795" s="715"/>
      <c r="K795" s="715"/>
      <c r="L795" s="715"/>
      <c r="M795" s="715"/>
      <c r="N795" s="715"/>
      <c r="O795" s="715"/>
      <c r="P795" s="715"/>
      <c r="Q795" s="715"/>
      <c r="R795" s="715"/>
      <c r="S795" s="715"/>
      <c r="T795" s="715"/>
      <c r="U795" s="715"/>
      <c r="V795" s="715"/>
      <c r="W795" s="715"/>
      <c r="X795" s="153"/>
      <c r="Y795" s="194"/>
    </row>
    <row r="796" spans="1:25" ht="21.95" customHeight="1" x14ac:dyDescent="0.2">
      <c r="A796" s="301"/>
      <c r="B796" s="302"/>
      <c r="C796" s="301"/>
      <c r="D796" s="301"/>
      <c r="E796" s="301"/>
      <c r="F796" s="301"/>
      <c r="G796" s="301"/>
      <c r="H796" s="267"/>
      <c r="I796" s="715"/>
      <c r="J796" s="715"/>
      <c r="K796" s="715"/>
      <c r="L796" s="715"/>
      <c r="M796" s="715"/>
      <c r="N796" s="715"/>
      <c r="O796" s="715"/>
      <c r="P796" s="715"/>
      <c r="Q796" s="715"/>
      <c r="R796" s="715"/>
      <c r="S796" s="715"/>
      <c r="T796" s="715"/>
      <c r="U796" s="715"/>
      <c r="V796" s="715"/>
      <c r="W796" s="715"/>
      <c r="X796" s="153"/>
      <c r="Y796" s="194"/>
    </row>
    <row r="797" spans="1:25" ht="21.95" customHeight="1" x14ac:dyDescent="0.2">
      <c r="A797" s="301"/>
      <c r="B797" s="302"/>
      <c r="C797" s="301"/>
      <c r="D797" s="301"/>
      <c r="E797" s="301"/>
      <c r="F797" s="301"/>
      <c r="G797" s="301"/>
      <c r="H797" s="267"/>
      <c r="I797" s="677" t="s">
        <v>3334</v>
      </c>
      <c r="J797" s="678"/>
      <c r="K797" s="678"/>
      <c r="L797" s="678"/>
      <c r="M797" s="678"/>
      <c r="N797" s="678"/>
      <c r="O797" s="678"/>
      <c r="P797" s="678"/>
      <c r="Q797" s="678"/>
      <c r="R797" s="678"/>
      <c r="S797" s="678"/>
      <c r="T797" s="678"/>
      <c r="U797" s="678"/>
      <c r="V797" s="678"/>
      <c r="W797" s="678"/>
      <c r="X797" s="153"/>
      <c r="Y797" s="194"/>
    </row>
    <row r="798" spans="1:25" ht="21.95" customHeight="1" x14ac:dyDescent="0.2">
      <c r="A798" s="301"/>
      <c r="B798" s="302"/>
      <c r="C798" s="301"/>
      <c r="D798" s="301"/>
      <c r="E798" s="301"/>
      <c r="F798" s="301"/>
      <c r="G798" s="301"/>
      <c r="H798" s="267"/>
      <c r="I798" s="678"/>
      <c r="J798" s="678"/>
      <c r="K798" s="678"/>
      <c r="L798" s="678"/>
      <c r="M798" s="678"/>
      <c r="N798" s="678"/>
      <c r="O798" s="678"/>
      <c r="P798" s="678"/>
      <c r="Q798" s="678"/>
      <c r="R798" s="678"/>
      <c r="S798" s="678"/>
      <c r="T798" s="678"/>
      <c r="U798" s="678"/>
      <c r="V798" s="678"/>
      <c r="W798" s="678"/>
      <c r="X798" s="153"/>
      <c r="Y798" s="194"/>
    </row>
    <row r="799" spans="1:25" ht="21.95" customHeight="1" x14ac:dyDescent="0.2">
      <c r="A799" s="301"/>
      <c r="B799" s="302"/>
      <c r="C799" s="301"/>
      <c r="D799" s="301"/>
      <c r="E799" s="301"/>
      <c r="F799" s="301"/>
      <c r="G799" s="301"/>
      <c r="H799" s="266" t="str">
        <f>IF($B$532=3,"Y","")</f>
        <v/>
      </c>
      <c r="I799" s="714" t="s">
        <v>3717</v>
      </c>
      <c r="J799" s="715"/>
      <c r="K799" s="715"/>
      <c r="L799" s="715"/>
      <c r="M799" s="715"/>
      <c r="N799" s="715"/>
      <c r="O799" s="715"/>
      <c r="P799" s="715"/>
      <c r="Q799" s="715"/>
      <c r="R799" s="715"/>
      <c r="S799" s="715"/>
      <c r="T799" s="715"/>
      <c r="U799" s="715"/>
      <c r="V799" s="715"/>
      <c r="W799" s="715"/>
      <c r="X799" s="153"/>
      <c r="Y799" s="194"/>
    </row>
    <row r="800" spans="1:25" ht="21.95" customHeight="1" x14ac:dyDescent="0.2">
      <c r="A800" s="301"/>
      <c r="B800" s="302"/>
      <c r="C800" s="301"/>
      <c r="D800" s="301"/>
      <c r="E800" s="301"/>
      <c r="F800" s="301"/>
      <c r="G800" s="301"/>
      <c r="H800" s="202"/>
      <c r="I800" s="715"/>
      <c r="J800" s="715"/>
      <c r="K800" s="715"/>
      <c r="L800" s="715"/>
      <c r="M800" s="715"/>
      <c r="N800" s="715"/>
      <c r="O800" s="715"/>
      <c r="P800" s="715"/>
      <c r="Q800" s="715"/>
      <c r="R800" s="715"/>
      <c r="S800" s="715"/>
      <c r="T800" s="715"/>
      <c r="U800" s="715"/>
      <c r="V800" s="715"/>
      <c r="W800" s="715"/>
      <c r="X800" s="153"/>
      <c r="Y800" s="194"/>
    </row>
    <row r="801" spans="1:25" ht="21.95" customHeight="1" x14ac:dyDescent="0.2">
      <c r="A801" s="301"/>
      <c r="B801" s="302"/>
      <c r="C801" s="301"/>
      <c r="D801" s="301"/>
      <c r="E801" s="301"/>
      <c r="F801" s="301"/>
      <c r="G801" s="301"/>
      <c r="H801" s="267"/>
      <c r="I801" s="677" t="s">
        <v>3334</v>
      </c>
      <c r="J801" s="678"/>
      <c r="K801" s="678"/>
      <c r="L801" s="678"/>
      <c r="M801" s="678"/>
      <c r="N801" s="678"/>
      <c r="O801" s="678"/>
      <c r="P801" s="678"/>
      <c r="Q801" s="678"/>
      <c r="R801" s="678"/>
      <c r="S801" s="678"/>
      <c r="T801" s="678"/>
      <c r="U801" s="678"/>
      <c r="V801" s="678"/>
      <c r="W801" s="678"/>
      <c r="X801" s="153"/>
      <c r="Y801" s="194"/>
    </row>
    <row r="802" spans="1:25" ht="21.95" customHeight="1" x14ac:dyDescent="0.2">
      <c r="A802" s="301"/>
      <c r="B802" s="302"/>
      <c r="C802" s="301"/>
      <c r="D802" s="301"/>
      <c r="E802" s="301"/>
      <c r="F802" s="301"/>
      <c r="G802" s="301"/>
      <c r="H802" s="267"/>
      <c r="I802" s="678"/>
      <c r="J802" s="678"/>
      <c r="K802" s="678"/>
      <c r="L802" s="678"/>
      <c r="M802" s="678"/>
      <c r="N802" s="678"/>
      <c r="O802" s="678"/>
      <c r="P802" s="678"/>
      <c r="Q802" s="678"/>
      <c r="R802" s="678"/>
      <c r="S802" s="678"/>
      <c r="T802" s="678"/>
      <c r="U802" s="678"/>
      <c r="V802" s="678"/>
      <c r="W802" s="678"/>
      <c r="X802" s="153"/>
      <c r="Y802" s="194"/>
    </row>
    <row r="803" spans="1:25" ht="21.95" customHeight="1" x14ac:dyDescent="0.2">
      <c r="A803" s="301"/>
      <c r="B803" s="302"/>
      <c r="C803" s="301"/>
      <c r="D803" s="301"/>
      <c r="E803" s="301"/>
      <c r="F803" s="301"/>
      <c r="G803" s="301"/>
      <c r="H803" s="266" t="str">
        <f>IF($B$532=4,"Y","")</f>
        <v/>
      </c>
      <c r="I803" s="473" t="s">
        <v>3718</v>
      </c>
      <c r="J803" s="474"/>
      <c r="K803" s="474"/>
      <c r="L803" s="474"/>
      <c r="M803" s="474"/>
      <c r="N803" s="474"/>
      <c r="O803" s="474"/>
      <c r="P803" s="474"/>
      <c r="Q803" s="474"/>
      <c r="R803" s="474"/>
      <c r="S803" s="474"/>
      <c r="T803" s="474"/>
      <c r="U803" s="474"/>
      <c r="V803" s="474"/>
      <c r="W803" s="474"/>
      <c r="X803" s="153"/>
      <c r="Y803" s="194"/>
    </row>
    <row r="804" spans="1:25" ht="21.95" customHeight="1" x14ac:dyDescent="0.2">
      <c r="A804" s="301"/>
      <c r="B804" s="302"/>
      <c r="C804" s="301"/>
      <c r="D804" s="301"/>
      <c r="E804" s="301"/>
      <c r="F804" s="301"/>
      <c r="G804" s="301"/>
      <c r="H804" s="267"/>
      <c r="I804" s="554" t="s">
        <v>3719</v>
      </c>
      <c r="J804" s="555"/>
      <c r="K804" s="555"/>
      <c r="L804" s="555"/>
      <c r="M804" s="555"/>
      <c r="N804" s="555"/>
      <c r="O804" s="555"/>
      <c r="P804" s="555"/>
      <c r="Q804" s="555"/>
      <c r="R804" s="555"/>
      <c r="S804" s="555"/>
      <c r="T804" s="555"/>
      <c r="U804" s="555"/>
      <c r="V804" s="555"/>
      <c r="W804" s="556"/>
      <c r="X804" s="153"/>
      <c r="Y804" s="194"/>
    </row>
    <row r="805" spans="1:25" ht="21.95" customHeight="1" x14ac:dyDescent="0.2">
      <c r="A805" s="301"/>
      <c r="B805" s="302"/>
      <c r="C805" s="301"/>
      <c r="D805" s="301"/>
      <c r="E805" s="301"/>
      <c r="F805" s="301"/>
      <c r="G805" s="301"/>
      <c r="H805" s="267"/>
      <c r="I805" s="557"/>
      <c r="J805" s="558"/>
      <c r="K805" s="558"/>
      <c r="L805" s="558"/>
      <c r="M805" s="558"/>
      <c r="N805" s="558"/>
      <c r="O805" s="558"/>
      <c r="P805" s="558"/>
      <c r="Q805" s="558"/>
      <c r="R805" s="558"/>
      <c r="S805" s="558"/>
      <c r="T805" s="558"/>
      <c r="U805" s="558"/>
      <c r="V805" s="558"/>
      <c r="W805" s="559"/>
      <c r="X805" s="153"/>
      <c r="Y805" s="194"/>
    </row>
    <row r="806" spans="1:25" ht="21.95" customHeight="1" x14ac:dyDescent="0.2">
      <c r="A806" s="301"/>
      <c r="B806" s="302"/>
      <c r="C806" s="301"/>
      <c r="D806" s="301"/>
      <c r="E806" s="301"/>
      <c r="F806" s="301"/>
      <c r="G806" s="301"/>
      <c r="H806" s="267"/>
      <c r="I806" s="560"/>
      <c r="J806" s="561"/>
      <c r="K806" s="561"/>
      <c r="L806" s="561"/>
      <c r="M806" s="561"/>
      <c r="N806" s="561"/>
      <c r="O806" s="561"/>
      <c r="P806" s="561"/>
      <c r="Q806" s="561"/>
      <c r="R806" s="561"/>
      <c r="S806" s="561"/>
      <c r="T806" s="561"/>
      <c r="U806" s="561"/>
      <c r="V806" s="561"/>
      <c r="W806" s="562"/>
      <c r="X806" s="153"/>
      <c r="Y806" s="194"/>
    </row>
    <row r="807" spans="1:25" ht="21.95" customHeight="1" x14ac:dyDescent="0.2">
      <c r="A807" s="301"/>
      <c r="B807" s="302"/>
      <c r="C807" s="301"/>
      <c r="D807" s="301"/>
      <c r="E807" s="301"/>
      <c r="F807" s="301"/>
      <c r="G807" s="301"/>
      <c r="H807" s="266" t="str">
        <f>IF($B$532=5,"Y","")</f>
        <v/>
      </c>
      <c r="I807" s="473" t="s">
        <v>3330</v>
      </c>
      <c r="J807" s="474"/>
      <c r="K807" s="474"/>
      <c r="L807" s="474"/>
      <c r="M807" s="474"/>
      <c r="N807" s="474"/>
      <c r="O807" s="474"/>
      <c r="P807" s="474"/>
      <c r="Q807" s="474"/>
      <c r="R807" s="474"/>
      <c r="S807" s="474"/>
      <c r="T807" s="474"/>
      <c r="U807" s="474"/>
      <c r="V807" s="474"/>
      <c r="W807" s="474"/>
      <c r="X807" s="153"/>
      <c r="Y807" s="194"/>
    </row>
    <row r="808" spans="1:25" ht="21.95" customHeight="1" x14ac:dyDescent="0.2">
      <c r="H808" s="266"/>
      <c r="I808" s="138"/>
      <c r="J808" s="138"/>
      <c r="K808" s="138"/>
      <c r="L808" s="138"/>
      <c r="M808" s="138"/>
      <c r="N808" s="138"/>
      <c r="O808" s="138"/>
      <c r="P808" s="138"/>
      <c r="Q808" s="138"/>
      <c r="R808" s="138"/>
      <c r="S808" s="138"/>
      <c r="T808" s="138"/>
      <c r="U808" s="138"/>
      <c r="V808" s="138"/>
      <c r="W808" s="138"/>
      <c r="X808" s="138"/>
      <c r="Y808" s="194"/>
    </row>
    <row r="809" spans="1:25" ht="21.95" customHeight="1" x14ac:dyDescent="0.2">
      <c r="H809" s="266"/>
      <c r="I809" s="226" t="s">
        <v>3649</v>
      </c>
      <c r="J809" s="379"/>
      <c r="K809" s="379"/>
      <c r="L809" s="379"/>
      <c r="M809" s="379"/>
      <c r="N809" s="379"/>
      <c r="O809" s="379"/>
      <c r="P809" s="379"/>
      <c r="Q809" s="379"/>
      <c r="R809" s="379"/>
      <c r="S809" s="379"/>
      <c r="T809" s="379"/>
      <c r="U809" s="379"/>
      <c r="V809" s="379"/>
      <c r="W809" s="175" t="str">
        <f>SUBSTITUTE(SUBSTITUTE(SUBSTITUTE(IF(LEN(B533)&gt;F533,CONFIG_CHAR_LIMIT_TEMPLATE_ERR,CONFIG_CHAR_LIMIT_TEMPLATE),"[diff]",ABS(LEN(B533)-F533)),"[limit]",F533),"[used]",LEN(B533))</f>
        <v>1000 character(s) remaining</v>
      </c>
      <c r="X809" s="153"/>
      <c r="Y809" s="194"/>
    </row>
    <row r="810" spans="1:25" ht="21.95" customHeight="1" x14ac:dyDescent="0.2">
      <c r="H810" s="266"/>
      <c r="I810" s="500"/>
      <c r="J810" s="652"/>
      <c r="K810" s="652"/>
      <c r="L810" s="652"/>
      <c r="M810" s="652"/>
      <c r="N810" s="652"/>
      <c r="O810" s="652"/>
      <c r="P810" s="652"/>
      <c r="Q810" s="652"/>
      <c r="R810" s="652"/>
      <c r="S810" s="652"/>
      <c r="T810" s="652"/>
      <c r="U810" s="652"/>
      <c r="V810" s="652"/>
      <c r="W810" s="653"/>
      <c r="X810" s="165" t="str">
        <f ca="1">G533</f>
        <v/>
      </c>
      <c r="Y810" s="194"/>
    </row>
    <row r="811" spans="1:25" ht="21.95" customHeight="1" x14ac:dyDescent="0.2">
      <c r="H811" s="266"/>
      <c r="I811" s="654"/>
      <c r="J811" s="655"/>
      <c r="K811" s="655"/>
      <c r="L811" s="655"/>
      <c r="M811" s="655"/>
      <c r="N811" s="655"/>
      <c r="O811" s="655"/>
      <c r="P811" s="655"/>
      <c r="Q811" s="655"/>
      <c r="R811" s="655"/>
      <c r="S811" s="655"/>
      <c r="T811" s="655"/>
      <c r="U811" s="655"/>
      <c r="V811" s="655"/>
      <c r="W811" s="656"/>
      <c r="X811" s="153"/>
      <c r="Y811" s="194"/>
    </row>
    <row r="812" spans="1:25" ht="21.95" customHeight="1" x14ac:dyDescent="0.2">
      <c r="A812" s="138"/>
      <c r="B812" s="138"/>
      <c r="C812" s="138"/>
      <c r="D812" s="138"/>
      <c r="E812" s="138"/>
      <c r="F812" s="138"/>
      <c r="G812" s="138"/>
      <c r="H812" s="266"/>
      <c r="I812" s="657"/>
      <c r="J812" s="658"/>
      <c r="K812" s="658"/>
      <c r="L812" s="658"/>
      <c r="M812" s="658"/>
      <c r="N812" s="658"/>
      <c r="O812" s="658"/>
      <c r="P812" s="658"/>
      <c r="Q812" s="658"/>
      <c r="R812" s="658"/>
      <c r="S812" s="658"/>
      <c r="T812" s="658"/>
      <c r="U812" s="658"/>
      <c r="V812" s="658"/>
      <c r="W812" s="659"/>
      <c r="X812" s="153"/>
      <c r="Y812" s="194"/>
    </row>
    <row r="813" spans="1:25" ht="21.95" customHeight="1" x14ac:dyDescent="0.2">
      <c r="A813" s="138"/>
      <c r="B813" s="138"/>
      <c r="C813" s="138"/>
      <c r="D813" s="138"/>
      <c r="E813" s="138"/>
      <c r="F813" s="138"/>
      <c r="G813" s="138"/>
      <c r="H813" s="215"/>
      <c r="I813" s="194"/>
      <c r="J813" s="153"/>
      <c r="K813" s="194"/>
      <c r="L813" s="153"/>
      <c r="M813" s="194"/>
      <c r="N813" s="153"/>
      <c r="O813" s="194"/>
      <c r="P813" s="153"/>
      <c r="Q813" s="194"/>
      <c r="R813" s="153"/>
      <c r="S813" s="194"/>
      <c r="T813" s="153"/>
      <c r="U813" s="194"/>
      <c r="V813" s="153"/>
      <c r="W813" s="194"/>
      <c r="X813" s="153"/>
      <c r="Y813" s="194"/>
    </row>
    <row r="814" spans="1:25" ht="21.95" customHeight="1" thickBot="1" x14ac:dyDescent="0.25">
      <c r="A814" s="138"/>
      <c r="B814" s="138"/>
      <c r="C814" s="138"/>
      <c r="D814" s="138"/>
      <c r="E814" s="138"/>
      <c r="F814" s="138"/>
      <c r="G814" s="138"/>
      <c r="H814" s="215"/>
      <c r="I814" s="216" t="s">
        <v>3335</v>
      </c>
      <c r="J814" s="217"/>
      <c r="K814" s="223"/>
      <c r="L814" s="217"/>
      <c r="M814" s="223"/>
      <c r="N814" s="217"/>
      <c r="O814" s="223"/>
      <c r="P814" s="217"/>
      <c r="Q814" s="255"/>
      <c r="R814" s="217"/>
      <c r="S814" s="223"/>
      <c r="T814" s="217"/>
      <c r="U814" s="223"/>
      <c r="V814" s="217"/>
      <c r="W814" s="223"/>
      <c r="X814" s="153"/>
      <c r="Y814" s="194"/>
    </row>
    <row r="815" spans="1:25" ht="21.95" customHeight="1" thickTop="1" x14ac:dyDescent="0.2">
      <c r="A815" s="138"/>
      <c r="B815" s="138"/>
      <c r="C815" s="138"/>
      <c r="D815" s="138"/>
      <c r="E815" s="138"/>
      <c r="F815" s="138"/>
      <c r="G815" s="138"/>
      <c r="H815" s="215"/>
      <c r="I815" s="194"/>
      <c r="J815" s="153"/>
      <c r="K815" s="194"/>
      <c r="L815" s="153"/>
      <c r="M815" s="194"/>
      <c r="N815" s="153"/>
      <c r="O815" s="194"/>
      <c r="P815" s="153"/>
      <c r="Q815" s="194"/>
      <c r="R815" s="153"/>
      <c r="S815" s="194"/>
      <c r="T815" s="153"/>
      <c r="U815" s="194"/>
      <c r="V815" s="153"/>
      <c r="W815" s="194"/>
      <c r="X815" s="153"/>
      <c r="Y815" s="194"/>
    </row>
    <row r="816" spans="1:25" ht="21.95" customHeight="1" x14ac:dyDescent="0.2">
      <c r="A816" s="138"/>
      <c r="B816" s="138"/>
      <c r="C816" s="138"/>
      <c r="D816" s="138"/>
      <c r="E816" s="138"/>
      <c r="F816" s="138"/>
      <c r="G816" s="138"/>
      <c r="H816" s="152"/>
      <c r="I816" s="679" t="s">
        <v>3482</v>
      </c>
      <c r="J816" s="680"/>
      <c r="K816" s="680"/>
      <c r="L816" s="680"/>
      <c r="M816" s="680"/>
      <c r="N816" s="680"/>
      <c r="O816" s="680"/>
      <c r="P816" s="680"/>
      <c r="Q816" s="680"/>
      <c r="R816" s="680"/>
      <c r="S816" s="680"/>
      <c r="T816" s="680"/>
      <c r="U816" s="680"/>
      <c r="V816" s="680"/>
      <c r="W816" s="680"/>
      <c r="X816" s="153"/>
      <c r="Y816" s="194"/>
    </row>
    <row r="817" spans="1:25" ht="21.95" customHeight="1" x14ac:dyDescent="0.2">
      <c r="A817" s="138"/>
      <c r="B817" s="138"/>
      <c r="C817" s="138"/>
      <c r="D817" s="138"/>
      <c r="E817" s="138"/>
      <c r="F817" s="138"/>
      <c r="G817" s="138"/>
      <c r="H817" s="266" t="str">
        <f>IF($B$534=TRUE,"Y","")</f>
        <v/>
      </c>
      <c r="I817" s="473" t="s">
        <v>3336</v>
      </c>
      <c r="J817" s="474"/>
      <c r="K817" s="474"/>
      <c r="L817" s="474"/>
      <c r="M817" s="474"/>
      <c r="N817" s="474"/>
      <c r="O817" s="474"/>
      <c r="P817" s="474"/>
      <c r="Q817" s="474"/>
      <c r="R817" s="474"/>
      <c r="S817" s="474"/>
      <c r="T817" s="474"/>
      <c r="U817" s="474"/>
      <c r="V817" s="474"/>
      <c r="W817" s="474"/>
      <c r="X817" s="153"/>
      <c r="Y817" s="194"/>
    </row>
    <row r="818" spans="1:25" ht="21.95" customHeight="1" x14ac:dyDescent="0.2">
      <c r="A818" s="138"/>
      <c r="B818" s="138"/>
      <c r="C818" s="138"/>
      <c r="D818" s="138"/>
      <c r="E818" s="138"/>
      <c r="F818" s="138"/>
      <c r="G818" s="138"/>
      <c r="H818" s="215"/>
      <c r="I818" s="677" t="s">
        <v>3691</v>
      </c>
      <c r="J818" s="678"/>
      <c r="K818" s="678"/>
      <c r="L818" s="678"/>
      <c r="M818" s="678"/>
      <c r="N818" s="678"/>
      <c r="O818" s="678"/>
      <c r="P818" s="678"/>
      <c r="Q818" s="678"/>
      <c r="R818" s="678"/>
      <c r="S818" s="678"/>
      <c r="T818" s="678"/>
      <c r="U818" s="678"/>
      <c r="V818" s="678"/>
      <c r="W818" s="678"/>
      <c r="X818" s="153"/>
      <c r="Y818" s="194"/>
    </row>
    <row r="819" spans="1:25" ht="21.95" customHeight="1" x14ac:dyDescent="0.2">
      <c r="A819" s="138"/>
      <c r="B819" s="138"/>
      <c r="C819" s="138"/>
      <c r="D819" s="138"/>
      <c r="E819" s="138"/>
      <c r="F819" s="138"/>
      <c r="G819" s="138"/>
      <c r="H819" s="215"/>
      <c r="I819" s="678"/>
      <c r="J819" s="678"/>
      <c r="K819" s="678"/>
      <c r="L819" s="678"/>
      <c r="M819" s="678"/>
      <c r="N819" s="678"/>
      <c r="O819" s="678"/>
      <c r="P819" s="678"/>
      <c r="Q819" s="678"/>
      <c r="R819" s="678"/>
      <c r="S819" s="678"/>
      <c r="T819" s="678"/>
      <c r="U819" s="678"/>
      <c r="V819" s="678"/>
      <c r="W819" s="678"/>
      <c r="X819" s="153"/>
      <c r="Y819" s="194"/>
    </row>
    <row r="820" spans="1:25" ht="21.95" customHeight="1" x14ac:dyDescent="0.2">
      <c r="A820" s="138"/>
      <c r="B820" s="138"/>
      <c r="C820" s="138"/>
      <c r="D820" s="138"/>
      <c r="E820" s="138"/>
      <c r="F820" s="138"/>
      <c r="G820" s="138"/>
      <c r="H820" s="215"/>
      <c r="I820" s="678"/>
      <c r="J820" s="678"/>
      <c r="K820" s="678"/>
      <c r="L820" s="678"/>
      <c r="M820" s="678"/>
      <c r="N820" s="678"/>
      <c r="O820" s="678"/>
      <c r="P820" s="678"/>
      <c r="Q820" s="678"/>
      <c r="R820" s="678"/>
      <c r="S820" s="678"/>
      <c r="T820" s="678"/>
      <c r="U820" s="678"/>
      <c r="V820" s="678"/>
      <c r="W820" s="678"/>
      <c r="X820" s="153"/>
      <c r="Y820" s="194"/>
    </row>
    <row r="821" spans="1:25" ht="21.95" customHeight="1" x14ac:dyDescent="0.2">
      <c r="A821" s="138"/>
      <c r="B821" s="138"/>
      <c r="C821" s="138"/>
      <c r="D821" s="138"/>
      <c r="E821" s="138"/>
      <c r="F821" s="138"/>
      <c r="G821" s="138"/>
      <c r="H821" s="266" t="str">
        <f>IF($B$535=TRUE,"Y","")</f>
        <v/>
      </c>
      <c r="I821" s="473" t="s">
        <v>3692</v>
      </c>
      <c r="J821" s="474"/>
      <c r="K821" s="474"/>
      <c r="L821" s="474"/>
      <c r="M821" s="474"/>
      <c r="N821" s="474"/>
      <c r="O821" s="474"/>
      <c r="P821" s="474"/>
      <c r="Q821" s="474"/>
      <c r="R821" s="474"/>
      <c r="S821" s="474"/>
      <c r="T821" s="474"/>
      <c r="U821" s="474"/>
      <c r="V821" s="474"/>
      <c r="W821" s="474"/>
      <c r="X821" s="153"/>
      <c r="Y821" s="194"/>
    </row>
    <row r="822" spans="1:25" ht="21.95" customHeight="1" x14ac:dyDescent="0.2">
      <c r="A822" s="138"/>
      <c r="B822" s="138"/>
      <c r="C822" s="138"/>
      <c r="D822" s="138"/>
      <c r="E822" s="138"/>
      <c r="F822" s="138"/>
      <c r="G822" s="138"/>
      <c r="H822" s="215"/>
      <c r="I822" s="554" t="s">
        <v>3693</v>
      </c>
      <c r="J822" s="555"/>
      <c r="K822" s="555"/>
      <c r="L822" s="555"/>
      <c r="M822" s="555"/>
      <c r="N822" s="555"/>
      <c r="O822" s="555"/>
      <c r="P822" s="555"/>
      <c r="Q822" s="555"/>
      <c r="R822" s="555"/>
      <c r="S822" s="555"/>
      <c r="T822" s="555"/>
      <c r="U822" s="555"/>
      <c r="V822" s="555"/>
      <c r="W822" s="556"/>
      <c r="X822" s="153"/>
      <c r="Y822" s="194"/>
    </row>
    <row r="823" spans="1:25" ht="21.95" customHeight="1" x14ac:dyDescent="0.2">
      <c r="A823" s="138"/>
      <c r="B823" s="138"/>
      <c r="C823" s="138"/>
      <c r="D823" s="138"/>
      <c r="E823" s="138"/>
      <c r="F823" s="138"/>
      <c r="G823" s="138"/>
      <c r="H823" s="215"/>
      <c r="I823" s="557"/>
      <c r="J823" s="558"/>
      <c r="K823" s="558"/>
      <c r="L823" s="558"/>
      <c r="M823" s="558"/>
      <c r="N823" s="558"/>
      <c r="O823" s="558"/>
      <c r="P823" s="558"/>
      <c r="Q823" s="558"/>
      <c r="R823" s="558"/>
      <c r="S823" s="558"/>
      <c r="T823" s="558"/>
      <c r="U823" s="558"/>
      <c r="V823" s="558"/>
      <c r="W823" s="559"/>
      <c r="X823" s="153"/>
      <c r="Y823" s="194"/>
    </row>
    <row r="824" spans="1:25" ht="21.95" customHeight="1" x14ac:dyDescent="0.2">
      <c r="A824" s="138"/>
      <c r="B824" s="138"/>
      <c r="C824" s="138"/>
      <c r="D824" s="138"/>
      <c r="E824" s="138"/>
      <c r="F824" s="138"/>
      <c r="G824" s="138"/>
      <c r="H824" s="215"/>
      <c r="I824" s="557"/>
      <c r="J824" s="558"/>
      <c r="K824" s="558"/>
      <c r="L824" s="558"/>
      <c r="M824" s="558"/>
      <c r="N824" s="558"/>
      <c r="O824" s="558"/>
      <c r="P824" s="558"/>
      <c r="Q824" s="558"/>
      <c r="R824" s="558"/>
      <c r="S824" s="558"/>
      <c r="T824" s="558"/>
      <c r="U824" s="558"/>
      <c r="V824" s="558"/>
      <c r="W824" s="559"/>
      <c r="X824" s="153"/>
      <c r="Y824" s="194"/>
    </row>
    <row r="825" spans="1:25" ht="21.95" customHeight="1" x14ac:dyDescent="0.2">
      <c r="A825" s="138"/>
      <c r="B825" s="138"/>
      <c r="C825" s="138"/>
      <c r="D825" s="138"/>
      <c r="E825" s="138"/>
      <c r="F825" s="138"/>
      <c r="G825" s="138"/>
      <c r="H825" s="215"/>
      <c r="I825" s="557"/>
      <c r="J825" s="558"/>
      <c r="K825" s="558"/>
      <c r="L825" s="558"/>
      <c r="M825" s="558"/>
      <c r="N825" s="558"/>
      <c r="O825" s="558"/>
      <c r="P825" s="558"/>
      <c r="Q825" s="558"/>
      <c r="R825" s="558"/>
      <c r="S825" s="558"/>
      <c r="T825" s="558"/>
      <c r="U825" s="558"/>
      <c r="V825" s="558"/>
      <c r="W825" s="559"/>
      <c r="X825" s="153"/>
      <c r="Y825" s="194"/>
    </row>
    <row r="826" spans="1:25" ht="21.95" customHeight="1" x14ac:dyDescent="0.2">
      <c r="A826" s="138"/>
      <c r="B826" s="138"/>
      <c r="C826" s="138"/>
      <c r="D826" s="138"/>
      <c r="E826" s="138"/>
      <c r="F826" s="138"/>
      <c r="G826" s="138"/>
      <c r="H826" s="215"/>
      <c r="I826" s="557"/>
      <c r="J826" s="558"/>
      <c r="K826" s="558"/>
      <c r="L826" s="558"/>
      <c r="M826" s="558"/>
      <c r="N826" s="558"/>
      <c r="O826" s="558"/>
      <c r="P826" s="558"/>
      <c r="Q826" s="558"/>
      <c r="R826" s="558"/>
      <c r="S826" s="558"/>
      <c r="T826" s="558"/>
      <c r="U826" s="558"/>
      <c r="V826" s="558"/>
      <c r="W826" s="559"/>
      <c r="X826" s="153"/>
      <c r="Y826" s="194"/>
    </row>
    <row r="827" spans="1:25" ht="21.95" customHeight="1" x14ac:dyDescent="0.2">
      <c r="A827" s="138"/>
      <c r="B827" s="138"/>
      <c r="C827" s="138"/>
      <c r="D827" s="138"/>
      <c r="E827" s="138"/>
      <c r="F827" s="138"/>
      <c r="G827" s="138"/>
      <c r="H827" s="215"/>
      <c r="I827" s="560"/>
      <c r="J827" s="561"/>
      <c r="K827" s="561"/>
      <c r="L827" s="561"/>
      <c r="M827" s="561"/>
      <c r="N827" s="561"/>
      <c r="O827" s="561"/>
      <c r="P827" s="561"/>
      <c r="Q827" s="561"/>
      <c r="R827" s="561"/>
      <c r="S827" s="561"/>
      <c r="T827" s="561"/>
      <c r="U827" s="561"/>
      <c r="V827" s="561"/>
      <c r="W827" s="562"/>
      <c r="X827" s="153"/>
      <c r="Y827" s="194"/>
    </row>
    <row r="828" spans="1:25" ht="21.95" customHeight="1" x14ac:dyDescent="0.2">
      <c r="A828" s="138"/>
      <c r="B828" s="138"/>
      <c r="C828" s="138"/>
      <c r="D828" s="138"/>
      <c r="E828" s="138"/>
      <c r="F828" s="138"/>
      <c r="G828" s="138"/>
      <c r="H828" s="215"/>
      <c r="I828" s="194"/>
      <c r="J828" s="153"/>
      <c r="K828" s="194"/>
      <c r="L828" s="153"/>
      <c r="M828" s="194"/>
      <c r="N828" s="153"/>
      <c r="O828" s="194"/>
      <c r="P828" s="153"/>
      <c r="Q828" s="194"/>
      <c r="R828" s="153"/>
      <c r="S828" s="194"/>
      <c r="T828" s="153"/>
      <c r="U828" s="194"/>
      <c r="V828" s="153"/>
      <c r="W828" s="194"/>
      <c r="X828" s="153"/>
      <c r="Y828" s="194"/>
    </row>
    <row r="829" spans="1:25" ht="21.95" customHeight="1" thickBot="1" x14ac:dyDescent="0.25">
      <c r="A829" s="138"/>
      <c r="B829" s="138"/>
      <c r="C829" s="138"/>
      <c r="D829" s="138"/>
      <c r="E829" s="138"/>
      <c r="F829" s="138"/>
      <c r="G829" s="138"/>
      <c r="H829" s="215"/>
      <c r="I829" s="216" t="s">
        <v>3337</v>
      </c>
      <c r="J829" s="217"/>
      <c r="K829" s="223"/>
      <c r="L829" s="217"/>
      <c r="M829" s="223"/>
      <c r="N829" s="217"/>
      <c r="O829" s="223"/>
      <c r="P829" s="217"/>
      <c r="Q829" s="255"/>
      <c r="R829" s="217"/>
      <c r="S829" s="223"/>
      <c r="T829" s="217"/>
      <c r="U829" s="223"/>
      <c r="V829" s="217"/>
      <c r="W829" s="223"/>
      <c r="X829" s="153"/>
      <c r="Y829" s="194"/>
    </row>
    <row r="830" spans="1:25" ht="21.95" customHeight="1" thickTop="1" x14ac:dyDescent="0.2">
      <c r="A830" s="138"/>
      <c r="B830" s="138"/>
      <c r="C830" s="138"/>
      <c r="D830" s="138"/>
      <c r="E830" s="138"/>
      <c r="F830" s="138"/>
      <c r="G830" s="138"/>
      <c r="H830" s="215"/>
      <c r="I830" s="194"/>
      <c r="J830" s="153"/>
      <c r="K830" s="194"/>
      <c r="L830" s="153"/>
      <c r="M830" s="194"/>
      <c r="N830" s="153"/>
      <c r="O830" s="194"/>
      <c r="P830" s="153"/>
      <c r="Q830" s="194"/>
      <c r="R830" s="153"/>
      <c r="S830" s="194"/>
      <c r="T830" s="153"/>
      <c r="U830" s="194"/>
      <c r="V830" s="153"/>
      <c r="W830" s="194"/>
      <c r="X830" s="153"/>
      <c r="Y830" s="194"/>
    </row>
    <row r="831" spans="1:25" ht="21.95" customHeight="1" x14ac:dyDescent="0.2">
      <c r="A831" s="138"/>
      <c r="B831" s="138"/>
      <c r="C831" s="138"/>
      <c r="D831" s="138"/>
      <c r="E831" s="138"/>
      <c r="F831" s="138"/>
      <c r="G831" s="138"/>
      <c r="H831" s="152"/>
      <c r="I831" s="681" t="s">
        <v>3481</v>
      </c>
      <c r="J831" s="682"/>
      <c r="K831" s="682"/>
      <c r="L831" s="682"/>
      <c r="M831" s="682"/>
      <c r="N831" s="682"/>
      <c r="O831" s="682"/>
      <c r="P831" s="682"/>
      <c r="Q831" s="682"/>
      <c r="R831" s="682"/>
      <c r="S831" s="682"/>
      <c r="T831" s="682"/>
      <c r="U831" s="682"/>
      <c r="V831" s="682"/>
      <c r="W831" s="682"/>
      <c r="X831" s="165">
        <f ca="1">G536</f>
        <v>1</v>
      </c>
      <c r="Y831" s="194"/>
    </row>
    <row r="832" spans="1:25" ht="21.95" customHeight="1" x14ac:dyDescent="0.2">
      <c r="A832" s="138"/>
      <c r="B832" s="138"/>
      <c r="C832" s="138"/>
      <c r="D832" s="138"/>
      <c r="E832" s="138"/>
      <c r="F832" s="138"/>
      <c r="G832" s="138"/>
      <c r="H832" s="266" t="str">
        <f>IF($B$536=1,"Y","")</f>
        <v/>
      </c>
      <c r="I832" s="473" t="s">
        <v>3694</v>
      </c>
      <c r="J832" s="474"/>
      <c r="K832" s="474"/>
      <c r="L832" s="474"/>
      <c r="M832" s="474"/>
      <c r="N832" s="474"/>
      <c r="O832" s="474"/>
      <c r="P832" s="474"/>
      <c r="Q832" s="474"/>
      <c r="R832" s="474"/>
      <c r="S832" s="474"/>
      <c r="T832" s="474"/>
      <c r="U832" s="474"/>
      <c r="V832" s="474"/>
      <c r="W832" s="474"/>
      <c r="X832" s="153"/>
      <c r="Y832" s="194"/>
    </row>
    <row r="833" spans="1:25" ht="21.95" customHeight="1" x14ac:dyDescent="0.2">
      <c r="A833" s="138"/>
      <c r="B833" s="138"/>
      <c r="C833" s="138"/>
      <c r="D833" s="138"/>
      <c r="E833" s="138"/>
      <c r="F833" s="138"/>
      <c r="G833" s="138"/>
      <c r="H833" s="267"/>
      <c r="I833" s="374" t="s">
        <v>3695</v>
      </c>
      <c r="J833" s="373"/>
      <c r="K833" s="373"/>
      <c r="L833" s="373"/>
      <c r="M833" s="373"/>
      <c r="N833" s="373"/>
      <c r="O833" s="373"/>
      <c r="P833" s="373"/>
      <c r="Q833" s="373"/>
      <c r="R833" s="373"/>
      <c r="S833" s="373"/>
      <c r="T833" s="373"/>
      <c r="U833" s="373"/>
      <c r="V833" s="373"/>
      <c r="W833" s="175" t="str">
        <f>SUBSTITUTE(SUBSTITUTE(SUBSTITUTE(IF(LEN(B537)&gt;F537,CONFIG_CHAR_LIMIT_TEMPLATE_ERR,CONFIG_CHAR_LIMIT_TEMPLATE),"[diff]",ABS(LEN(B537)-F537)),"[limit]",F537),"[used]",LEN(B537))</f>
        <v>1000 character(s) remaining</v>
      </c>
      <c r="X833" s="153"/>
      <c r="Y833" s="194"/>
    </row>
    <row r="834" spans="1:25" ht="21.95" customHeight="1" x14ac:dyDescent="0.2">
      <c r="A834" s="138"/>
      <c r="B834" s="138"/>
      <c r="C834" s="138"/>
      <c r="D834" s="138"/>
      <c r="E834" s="138"/>
      <c r="F834" s="138"/>
      <c r="G834" s="138"/>
      <c r="H834" s="267"/>
      <c r="I834" s="683"/>
      <c r="J834" s="684"/>
      <c r="K834" s="684"/>
      <c r="L834" s="684"/>
      <c r="M834" s="684"/>
      <c r="N834" s="684"/>
      <c r="O834" s="684"/>
      <c r="P834" s="684"/>
      <c r="Q834" s="684"/>
      <c r="R834" s="684"/>
      <c r="S834" s="684"/>
      <c r="T834" s="684"/>
      <c r="U834" s="684"/>
      <c r="V834" s="684"/>
      <c r="W834" s="685"/>
      <c r="X834" s="165" t="str">
        <f ca="1">G537</f>
        <v/>
      </c>
      <c r="Y834" s="194"/>
    </row>
    <row r="835" spans="1:25" ht="21.95" customHeight="1" x14ac:dyDescent="0.2">
      <c r="A835" s="138"/>
      <c r="B835" s="138"/>
      <c r="C835" s="138"/>
      <c r="D835" s="138"/>
      <c r="E835" s="138"/>
      <c r="F835" s="138"/>
      <c r="G835" s="138"/>
      <c r="H835" s="267"/>
      <c r="I835" s="686"/>
      <c r="J835" s="687"/>
      <c r="K835" s="687"/>
      <c r="L835" s="687"/>
      <c r="M835" s="687"/>
      <c r="N835" s="687"/>
      <c r="O835" s="687"/>
      <c r="P835" s="687"/>
      <c r="Q835" s="687"/>
      <c r="R835" s="687"/>
      <c r="S835" s="687"/>
      <c r="T835" s="687"/>
      <c r="U835" s="687"/>
      <c r="V835" s="687"/>
      <c r="W835" s="688"/>
      <c r="X835" s="153"/>
      <c r="Y835" s="194"/>
    </row>
    <row r="836" spans="1:25" ht="21.95" customHeight="1" x14ac:dyDescent="0.2">
      <c r="A836" s="138"/>
      <c r="B836" s="138"/>
      <c r="C836" s="138"/>
      <c r="D836" s="138"/>
      <c r="E836" s="138"/>
      <c r="F836" s="138"/>
      <c r="G836" s="138"/>
      <c r="H836" s="267"/>
      <c r="I836" s="689"/>
      <c r="J836" s="690"/>
      <c r="K836" s="690"/>
      <c r="L836" s="690"/>
      <c r="M836" s="690"/>
      <c r="N836" s="690"/>
      <c r="O836" s="690"/>
      <c r="P836" s="690"/>
      <c r="Q836" s="690"/>
      <c r="R836" s="690"/>
      <c r="S836" s="690"/>
      <c r="T836" s="690"/>
      <c r="U836" s="690"/>
      <c r="V836" s="690"/>
      <c r="W836" s="691"/>
      <c r="X836" s="153"/>
      <c r="Y836" s="194"/>
    </row>
    <row r="837" spans="1:25" ht="21.95" customHeight="1" x14ac:dyDescent="0.2">
      <c r="A837" s="138"/>
      <c r="B837" s="138"/>
      <c r="C837" s="138"/>
      <c r="D837" s="138"/>
      <c r="E837" s="138"/>
      <c r="F837" s="138"/>
      <c r="G837" s="138"/>
      <c r="H837" s="266" t="str">
        <f>IF($B$536=2,"Y","")</f>
        <v/>
      </c>
      <c r="I837" s="473" t="s">
        <v>3696</v>
      </c>
      <c r="J837" s="474"/>
      <c r="K837" s="474"/>
      <c r="L837" s="474"/>
      <c r="M837" s="474"/>
      <c r="N837" s="474"/>
      <c r="O837" s="474"/>
      <c r="P837" s="474"/>
      <c r="Q837" s="474"/>
      <c r="R837" s="474"/>
      <c r="S837" s="474"/>
      <c r="T837" s="474"/>
      <c r="U837" s="474"/>
      <c r="V837" s="474"/>
      <c r="W837" s="474"/>
      <c r="X837" s="153"/>
      <c r="Y837" s="194"/>
    </row>
    <row r="838" spans="1:25" ht="21.95" customHeight="1" x14ac:dyDescent="0.2">
      <c r="A838" s="138"/>
      <c r="B838" s="138"/>
      <c r="C838" s="138"/>
      <c r="D838" s="138"/>
      <c r="E838" s="138"/>
      <c r="F838" s="138"/>
      <c r="G838" s="138"/>
      <c r="H838" s="267"/>
      <c r="I838" s="692" t="s">
        <v>3697</v>
      </c>
      <c r="J838" s="693"/>
      <c r="K838" s="693"/>
      <c r="L838" s="693"/>
      <c r="M838" s="693"/>
      <c r="N838" s="693"/>
      <c r="O838" s="693"/>
      <c r="P838" s="693"/>
      <c r="Q838" s="693"/>
      <c r="R838" s="693"/>
      <c r="S838" s="693"/>
      <c r="T838" s="693"/>
      <c r="U838" s="693"/>
      <c r="V838" s="693"/>
      <c r="W838" s="694"/>
      <c r="X838" s="153"/>
      <c r="Y838" s="194"/>
    </row>
    <row r="839" spans="1:25" ht="21.95" customHeight="1" x14ac:dyDescent="0.2">
      <c r="A839" s="138"/>
      <c r="B839" s="138"/>
      <c r="C839" s="138"/>
      <c r="D839" s="138"/>
      <c r="E839" s="138"/>
      <c r="F839" s="138"/>
      <c r="G839" s="138"/>
      <c r="H839" s="267"/>
      <c r="I839" s="695"/>
      <c r="J839" s="696"/>
      <c r="K839" s="696"/>
      <c r="L839" s="696"/>
      <c r="M839" s="696"/>
      <c r="N839" s="696"/>
      <c r="O839" s="696"/>
      <c r="P839" s="696"/>
      <c r="Q839" s="696"/>
      <c r="R839" s="696"/>
      <c r="S839" s="696"/>
      <c r="T839" s="696"/>
      <c r="U839" s="696"/>
      <c r="V839" s="696"/>
      <c r="W839" s="697"/>
      <c r="X839" s="153"/>
      <c r="Y839" s="194"/>
    </row>
    <row r="840" spans="1:25" ht="21.95" customHeight="1" x14ac:dyDescent="0.2">
      <c r="A840" s="138"/>
      <c r="B840" s="138"/>
      <c r="C840" s="138"/>
      <c r="D840" s="138"/>
      <c r="E840" s="138"/>
      <c r="F840" s="138"/>
      <c r="G840" s="138"/>
      <c r="H840" s="267"/>
      <c r="I840" s="695"/>
      <c r="J840" s="696"/>
      <c r="K840" s="696"/>
      <c r="L840" s="696"/>
      <c r="M840" s="696"/>
      <c r="N840" s="696"/>
      <c r="O840" s="696"/>
      <c r="P840" s="696"/>
      <c r="Q840" s="696"/>
      <c r="R840" s="696"/>
      <c r="S840" s="696"/>
      <c r="T840" s="696"/>
      <c r="U840" s="696"/>
      <c r="V840" s="696"/>
      <c r="W840" s="697"/>
      <c r="X840" s="153"/>
      <c r="Y840" s="194"/>
    </row>
    <row r="841" spans="1:25" ht="21.95" customHeight="1" x14ac:dyDescent="0.2">
      <c r="A841" s="138"/>
      <c r="B841" s="138"/>
      <c r="C841" s="138"/>
      <c r="D841" s="138"/>
      <c r="E841" s="138"/>
      <c r="F841" s="138"/>
      <c r="G841" s="138"/>
      <c r="H841" s="267"/>
      <c r="I841" s="695"/>
      <c r="J841" s="696"/>
      <c r="K841" s="696"/>
      <c r="L841" s="696"/>
      <c r="M841" s="696"/>
      <c r="N841" s="696"/>
      <c r="O841" s="696"/>
      <c r="P841" s="696"/>
      <c r="Q841" s="696"/>
      <c r="R841" s="696"/>
      <c r="S841" s="696"/>
      <c r="T841" s="696"/>
      <c r="U841" s="696"/>
      <c r="V841" s="696"/>
      <c r="W841" s="697"/>
      <c r="X841" s="153"/>
      <c r="Y841" s="194"/>
    </row>
    <row r="842" spans="1:25" ht="21.95" customHeight="1" x14ac:dyDescent="0.2">
      <c r="A842" s="138"/>
      <c r="B842" s="138"/>
      <c r="C842" s="138"/>
      <c r="D842" s="138"/>
      <c r="E842" s="138"/>
      <c r="F842" s="138"/>
      <c r="G842" s="138"/>
      <c r="H842" s="267"/>
      <c r="I842" s="695"/>
      <c r="J842" s="696"/>
      <c r="K842" s="696"/>
      <c r="L842" s="696"/>
      <c r="M842" s="696"/>
      <c r="N842" s="696"/>
      <c r="O842" s="696"/>
      <c r="P842" s="696"/>
      <c r="Q842" s="696"/>
      <c r="R842" s="696"/>
      <c r="S842" s="696"/>
      <c r="T842" s="696"/>
      <c r="U842" s="696"/>
      <c r="V842" s="696"/>
      <c r="W842" s="697"/>
      <c r="X842" s="153"/>
      <c r="Y842" s="194"/>
    </row>
    <row r="843" spans="1:25" ht="21.95" customHeight="1" x14ac:dyDescent="0.2">
      <c r="A843" s="138"/>
      <c r="B843" s="138"/>
      <c r="C843" s="138"/>
      <c r="D843" s="138"/>
      <c r="E843" s="138"/>
      <c r="F843" s="138"/>
      <c r="G843" s="138"/>
      <c r="H843" s="267"/>
      <c r="I843" s="695"/>
      <c r="J843" s="696"/>
      <c r="K843" s="696"/>
      <c r="L843" s="696"/>
      <c r="M843" s="696"/>
      <c r="N843" s="696"/>
      <c r="O843" s="696"/>
      <c r="P843" s="696"/>
      <c r="Q843" s="696"/>
      <c r="R843" s="696"/>
      <c r="S843" s="696"/>
      <c r="T843" s="696"/>
      <c r="U843" s="696"/>
      <c r="V843" s="696"/>
      <c r="W843" s="697"/>
      <c r="X843" s="153"/>
      <c r="Y843" s="194"/>
    </row>
    <row r="844" spans="1:25" ht="21.95" customHeight="1" x14ac:dyDescent="0.2">
      <c r="A844" s="138"/>
      <c r="B844" s="138"/>
      <c r="C844" s="138"/>
      <c r="D844" s="138"/>
      <c r="E844" s="138"/>
      <c r="F844" s="138"/>
      <c r="G844" s="138"/>
      <c r="H844" s="267"/>
      <c r="I844" s="695"/>
      <c r="J844" s="696"/>
      <c r="K844" s="696"/>
      <c r="L844" s="696"/>
      <c r="M844" s="696"/>
      <c r="N844" s="696"/>
      <c r="O844" s="696"/>
      <c r="P844" s="696"/>
      <c r="Q844" s="696"/>
      <c r="R844" s="696"/>
      <c r="S844" s="696"/>
      <c r="T844" s="696"/>
      <c r="U844" s="696"/>
      <c r="V844" s="696"/>
      <c r="W844" s="697"/>
      <c r="X844" s="153"/>
      <c r="Y844" s="194"/>
    </row>
    <row r="845" spans="1:25" ht="21.95" customHeight="1" x14ac:dyDescent="0.2">
      <c r="A845" s="138"/>
      <c r="B845" s="138"/>
      <c r="C845" s="138"/>
      <c r="D845" s="138"/>
      <c r="E845" s="138"/>
      <c r="F845" s="138"/>
      <c r="G845" s="138"/>
      <c r="H845" s="267"/>
      <c r="I845" s="695"/>
      <c r="J845" s="696"/>
      <c r="K845" s="696"/>
      <c r="L845" s="696"/>
      <c r="M845" s="696"/>
      <c r="N845" s="696"/>
      <c r="O845" s="696"/>
      <c r="P845" s="696"/>
      <c r="Q845" s="696"/>
      <c r="R845" s="696"/>
      <c r="S845" s="696"/>
      <c r="T845" s="696"/>
      <c r="U845" s="696"/>
      <c r="V845" s="696"/>
      <c r="W845" s="697"/>
      <c r="X845" s="153"/>
      <c r="Y845" s="194"/>
    </row>
    <row r="846" spans="1:25" ht="21.95" customHeight="1" x14ac:dyDescent="0.2">
      <c r="A846" s="138"/>
      <c r="B846" s="138"/>
      <c r="C846" s="138"/>
      <c r="D846" s="138"/>
      <c r="E846" s="138"/>
      <c r="F846" s="138"/>
      <c r="G846" s="138"/>
      <c r="H846" s="267"/>
      <c r="I846" s="695"/>
      <c r="J846" s="696"/>
      <c r="K846" s="696"/>
      <c r="L846" s="696"/>
      <c r="M846" s="696"/>
      <c r="N846" s="696"/>
      <c r="O846" s="696"/>
      <c r="P846" s="696"/>
      <c r="Q846" s="696"/>
      <c r="R846" s="696"/>
      <c r="S846" s="696"/>
      <c r="T846" s="696"/>
      <c r="U846" s="696"/>
      <c r="V846" s="696"/>
      <c r="W846" s="697"/>
      <c r="X846" s="153"/>
      <c r="Y846" s="194"/>
    </row>
    <row r="847" spans="1:25" ht="21.95" customHeight="1" x14ac:dyDescent="0.2">
      <c r="A847" s="138"/>
      <c r="B847" s="138"/>
      <c r="C847" s="138"/>
      <c r="D847" s="138"/>
      <c r="E847" s="138"/>
      <c r="F847" s="138"/>
      <c r="G847" s="138"/>
      <c r="H847" s="267"/>
      <c r="I847" s="698"/>
      <c r="J847" s="699"/>
      <c r="K847" s="699"/>
      <c r="L847" s="699"/>
      <c r="M847" s="699"/>
      <c r="N847" s="699"/>
      <c r="O847" s="699"/>
      <c r="P847" s="699"/>
      <c r="Q847" s="699"/>
      <c r="R847" s="699"/>
      <c r="S847" s="699"/>
      <c r="T847" s="699"/>
      <c r="U847" s="699"/>
      <c r="V847" s="699"/>
      <c r="W847" s="700"/>
      <c r="X847" s="153"/>
      <c r="Y847" s="194"/>
    </row>
    <row r="848" spans="1:25" ht="21.95" customHeight="1" x14ac:dyDescent="0.2">
      <c r="A848" s="138"/>
      <c r="B848" s="138"/>
      <c r="C848" s="138"/>
      <c r="D848" s="138"/>
      <c r="E848" s="138"/>
      <c r="F848" s="138"/>
      <c r="G848" s="138"/>
      <c r="H848" s="266" t="str">
        <f>IF($B$536=3,"Y","")</f>
        <v/>
      </c>
      <c r="I848" s="473" t="s">
        <v>3338</v>
      </c>
      <c r="J848" s="474"/>
      <c r="K848" s="474"/>
      <c r="L848" s="474"/>
      <c r="M848" s="474"/>
      <c r="N848" s="474"/>
      <c r="O848" s="474"/>
      <c r="P848" s="474"/>
      <c r="Q848" s="474"/>
      <c r="R848" s="474"/>
      <c r="S848" s="474"/>
      <c r="T848" s="474"/>
      <c r="U848" s="474"/>
      <c r="V848" s="474"/>
      <c r="W848" s="474"/>
      <c r="X848" s="153"/>
      <c r="Y848" s="194"/>
    </row>
    <row r="849" spans="1:25" ht="21.95" customHeight="1" x14ac:dyDescent="0.2">
      <c r="A849" s="138"/>
      <c r="B849" s="138"/>
      <c r="C849" s="138"/>
      <c r="D849" s="138"/>
      <c r="E849" s="138"/>
      <c r="F849" s="138"/>
      <c r="G849" s="138"/>
      <c r="H849" s="215"/>
      <c r="I849" s="419"/>
      <c r="J849" s="422"/>
      <c r="K849" s="422"/>
      <c r="L849" s="422"/>
      <c r="M849" s="194"/>
      <c r="N849" s="153"/>
      <c r="O849" s="194"/>
      <c r="P849" s="153"/>
      <c r="Q849" s="194"/>
      <c r="R849" s="153"/>
      <c r="S849" s="194"/>
      <c r="T849" s="153"/>
      <c r="U849" s="194"/>
      <c r="V849" s="153"/>
      <c r="W849" s="194"/>
      <c r="X849" s="153"/>
      <c r="Y849" s="194"/>
    </row>
    <row r="850" spans="1:25" ht="21.95" customHeight="1" thickBot="1" x14ac:dyDescent="0.25">
      <c r="A850" s="138"/>
      <c r="B850" s="138"/>
      <c r="C850" s="138"/>
      <c r="D850" s="138"/>
      <c r="E850" s="138"/>
      <c r="F850" s="138"/>
      <c r="G850" s="138"/>
      <c r="H850" s="215"/>
      <c r="I850" s="424" t="str">
        <f>B483</f>
        <v>Project Readiness (Maximum Points: 7)</v>
      </c>
      <c r="J850" s="269"/>
      <c r="K850" s="269"/>
      <c r="L850" s="269"/>
      <c r="M850" s="269"/>
      <c r="N850" s="269"/>
      <c r="O850" s="269"/>
      <c r="P850" s="269"/>
      <c r="Q850" s="269"/>
      <c r="R850" s="269"/>
      <c r="S850" s="269"/>
      <c r="T850" s="269"/>
      <c r="U850" s="269"/>
      <c r="V850" s="269"/>
      <c r="W850" s="269"/>
      <c r="X850" s="167" t="str">
        <f ca="1">"Status: "&amp;$B$515</f>
        <v>Status: Not Started</v>
      </c>
      <c r="Y850" s="194"/>
    </row>
    <row r="851" spans="1:25" ht="21.95" customHeight="1" x14ac:dyDescent="0.2">
      <c r="A851" s="138"/>
      <c r="B851" s="138"/>
      <c r="C851" s="138"/>
      <c r="D851" s="138"/>
      <c r="E851" s="138"/>
      <c r="F851" s="138"/>
      <c r="G851" s="138"/>
      <c r="H851" s="215"/>
      <c r="I851" s="194"/>
      <c r="J851" s="153"/>
      <c r="K851" s="194"/>
      <c r="L851" s="153"/>
      <c r="M851" s="194"/>
      <c r="N851" s="153"/>
      <c r="O851" s="194"/>
      <c r="P851" s="153"/>
      <c r="Q851" s="194"/>
      <c r="R851" s="153"/>
      <c r="S851" s="194"/>
      <c r="T851" s="153"/>
      <c r="U851" s="194"/>
      <c r="V851" s="153"/>
      <c r="W851" s="194"/>
      <c r="X851" s="153"/>
      <c r="Y851" s="194"/>
    </row>
    <row r="852" spans="1:25" ht="21.95" customHeight="1" x14ac:dyDescent="0.2">
      <c r="A852" s="138"/>
      <c r="B852" s="138"/>
      <c r="C852" s="138"/>
      <c r="D852" s="138"/>
      <c r="E852" s="138"/>
      <c r="F852" s="138"/>
      <c r="G852" s="138"/>
      <c r="H852" s="215"/>
      <c r="I852" s="499" t="s">
        <v>3412</v>
      </c>
      <c r="J852" s="498"/>
      <c r="K852" s="498"/>
      <c r="L852" s="498"/>
      <c r="M852" s="498"/>
      <c r="N852" s="498"/>
      <c r="O852" s="498"/>
      <c r="P852" s="498"/>
      <c r="Q852" s="498"/>
      <c r="R852" s="498"/>
      <c r="S852" s="498"/>
      <c r="T852" s="498"/>
      <c r="U852" s="498"/>
      <c r="V852" s="498"/>
      <c r="W852" s="498"/>
      <c r="X852" s="153"/>
      <c r="Y852" s="194"/>
    </row>
    <row r="853" spans="1:25" ht="21.95" customHeight="1" x14ac:dyDescent="0.2">
      <c r="A853" s="138"/>
      <c r="B853" s="138"/>
      <c r="C853" s="138"/>
      <c r="D853" s="138"/>
      <c r="E853" s="138"/>
      <c r="F853" s="138"/>
      <c r="G853" s="138"/>
      <c r="H853" s="215"/>
      <c r="I853" s="498"/>
      <c r="J853" s="498"/>
      <c r="K853" s="498"/>
      <c r="L853" s="498"/>
      <c r="M853" s="498"/>
      <c r="N853" s="498"/>
      <c r="O853" s="498"/>
      <c r="P853" s="498"/>
      <c r="Q853" s="498"/>
      <c r="R853" s="498"/>
      <c r="S853" s="498"/>
      <c r="T853" s="498"/>
      <c r="U853" s="498"/>
      <c r="V853" s="498"/>
      <c r="W853" s="498"/>
      <c r="X853" s="153"/>
      <c r="Y853" s="194"/>
    </row>
    <row r="854" spans="1:25" ht="21.95" customHeight="1" x14ac:dyDescent="0.2">
      <c r="A854" s="138"/>
      <c r="B854" s="138"/>
      <c r="C854" s="138"/>
      <c r="D854" s="138"/>
      <c r="E854" s="138"/>
      <c r="F854" s="138"/>
      <c r="G854" s="138"/>
      <c r="H854" s="215"/>
      <c r="I854" s="498"/>
      <c r="J854" s="498"/>
      <c r="K854" s="498"/>
      <c r="L854" s="498"/>
      <c r="M854" s="498"/>
      <c r="N854" s="498"/>
      <c r="O854" s="498"/>
      <c r="P854" s="498"/>
      <c r="Q854" s="498"/>
      <c r="R854" s="498"/>
      <c r="S854" s="498"/>
      <c r="T854" s="498"/>
      <c r="U854" s="498"/>
      <c r="V854" s="498"/>
      <c r="W854" s="498"/>
      <c r="X854" s="153"/>
      <c r="Y854" s="194"/>
    </row>
    <row r="855" spans="1:25" ht="21.95" customHeight="1" x14ac:dyDescent="0.2">
      <c r="A855" s="138"/>
      <c r="B855" s="138"/>
      <c r="C855" s="138"/>
      <c r="D855" s="138"/>
      <c r="E855" s="138"/>
      <c r="F855" s="138"/>
      <c r="G855" s="138"/>
      <c r="H855" s="215"/>
      <c r="I855" s="258"/>
      <c r="J855" s="258"/>
      <c r="K855" s="258"/>
      <c r="L855" s="258"/>
      <c r="M855" s="258"/>
      <c r="N855" s="258"/>
      <c r="O855" s="258"/>
      <c r="P855" s="258"/>
      <c r="Q855" s="258"/>
      <c r="R855" s="258"/>
      <c r="S855" s="258"/>
      <c r="T855" s="258"/>
      <c r="U855" s="258"/>
      <c r="V855" s="258"/>
      <c r="W855" s="258"/>
      <c r="X855" s="153"/>
      <c r="Y855" s="194"/>
    </row>
    <row r="856" spans="1:25" ht="21.95" customHeight="1" thickBot="1" x14ac:dyDescent="0.25">
      <c r="A856" s="138"/>
      <c r="B856" s="138"/>
      <c r="C856" s="138"/>
      <c r="D856" s="138"/>
      <c r="E856" s="138"/>
      <c r="F856" s="138"/>
      <c r="G856" s="138"/>
      <c r="H856" s="215"/>
      <c r="I856" s="216" t="s">
        <v>3370</v>
      </c>
      <c r="J856" s="217"/>
      <c r="K856" s="223"/>
      <c r="L856" s="217"/>
      <c r="M856" s="223"/>
      <c r="N856" s="217"/>
      <c r="O856" s="223"/>
      <c r="P856" s="217"/>
      <c r="Q856" s="255"/>
      <c r="R856" s="217"/>
      <c r="S856" s="223"/>
      <c r="T856" s="217"/>
      <c r="U856" s="223"/>
      <c r="V856" s="217"/>
      <c r="W856" s="223"/>
      <c r="X856" s="153"/>
      <c r="Y856" s="194"/>
    </row>
    <row r="857" spans="1:25" ht="21.95" customHeight="1" thickTop="1" x14ac:dyDescent="0.2">
      <c r="A857" s="138"/>
      <c r="B857" s="138"/>
      <c r="C857" s="138"/>
      <c r="D857" s="138"/>
      <c r="E857" s="138"/>
      <c r="F857" s="138"/>
      <c r="G857" s="138"/>
      <c r="H857" s="215"/>
      <c r="I857" s="544" t="s">
        <v>3494</v>
      </c>
      <c r="J857" s="545"/>
      <c r="K857" s="545"/>
      <c r="L857" s="545"/>
      <c r="M857" s="545"/>
      <c r="N857" s="545"/>
      <c r="O857" s="545"/>
      <c r="P857" s="545"/>
      <c r="Q857" s="545"/>
      <c r="R857" s="545"/>
      <c r="S857" s="545"/>
      <c r="T857" s="545"/>
      <c r="U857" s="545"/>
      <c r="V857" s="545"/>
      <c r="W857" s="545"/>
      <c r="X857" s="259"/>
      <c r="Y857" s="194"/>
    </row>
    <row r="858" spans="1:25" ht="21.95" customHeight="1" x14ac:dyDescent="0.2">
      <c r="A858" s="138"/>
      <c r="B858" s="138"/>
      <c r="C858" s="138"/>
      <c r="D858" s="138"/>
      <c r="E858" s="138"/>
      <c r="F858" s="138"/>
      <c r="G858" s="138"/>
      <c r="H858" s="215"/>
      <c r="I858" s="546"/>
      <c r="J858" s="546"/>
      <c r="K858" s="546"/>
      <c r="L858" s="546"/>
      <c r="M858" s="546"/>
      <c r="N858" s="546"/>
      <c r="O858" s="546"/>
      <c r="P858" s="546"/>
      <c r="Q858" s="546"/>
      <c r="R858" s="546"/>
      <c r="S858" s="546"/>
      <c r="T858" s="546"/>
      <c r="U858" s="546"/>
      <c r="V858" s="546"/>
      <c r="W858" s="546"/>
      <c r="X858" s="247"/>
      <c r="Y858" s="194"/>
    </row>
    <row r="859" spans="1:25" ht="21.95" customHeight="1" x14ac:dyDescent="0.2">
      <c r="A859" s="138"/>
      <c r="B859" s="138"/>
      <c r="C859" s="138"/>
      <c r="D859" s="138"/>
      <c r="E859" s="138"/>
      <c r="F859" s="138"/>
      <c r="G859" s="138"/>
      <c r="H859" s="215"/>
      <c r="I859" s="194"/>
      <c r="J859" s="153"/>
      <c r="K859" s="194"/>
      <c r="L859" s="153"/>
      <c r="M859" s="194"/>
      <c r="N859" s="153"/>
      <c r="O859" s="194"/>
      <c r="P859" s="153"/>
      <c r="Q859" s="194"/>
      <c r="R859" s="153"/>
      <c r="S859" s="194"/>
      <c r="T859" s="153"/>
      <c r="U859" s="194"/>
      <c r="V859" s="153"/>
      <c r="W859" s="194"/>
      <c r="X859" s="153"/>
      <c r="Y859" s="194"/>
    </row>
    <row r="860" spans="1:25" ht="21.95" customHeight="1" x14ac:dyDescent="0.2">
      <c r="A860" s="138"/>
      <c r="B860" s="138"/>
      <c r="C860" s="138"/>
      <c r="D860" s="138"/>
      <c r="E860" s="138"/>
      <c r="F860" s="138"/>
      <c r="G860" s="138"/>
      <c r="H860" s="215"/>
      <c r="I860" s="260" t="s">
        <v>3238</v>
      </c>
      <c r="J860" s="260"/>
      <c r="K860" s="260"/>
      <c r="L860" s="260"/>
      <c r="M860" s="260"/>
      <c r="N860" s="260"/>
      <c r="O860" s="260"/>
      <c r="P860" s="260"/>
      <c r="Q860" s="261"/>
      <c r="R860" s="262"/>
      <c r="S860" s="261"/>
      <c r="T860" s="262"/>
      <c r="U860" s="261"/>
      <c r="V860" s="262"/>
      <c r="W860" s="261"/>
      <c r="X860" s="153"/>
      <c r="Y860" s="194"/>
    </row>
    <row r="861" spans="1:25" ht="21.95" customHeight="1" x14ac:dyDescent="0.2">
      <c r="A861" s="138"/>
      <c r="B861" s="138"/>
      <c r="C861" s="138"/>
      <c r="D861" s="138"/>
      <c r="E861" s="138"/>
      <c r="F861" s="138"/>
      <c r="G861" s="138"/>
      <c r="H861" s="215"/>
      <c r="I861" s="204" t="s">
        <v>3459</v>
      </c>
      <c r="J861" s="140"/>
      <c r="K861" s="225"/>
      <c r="L861" s="140"/>
      <c r="M861" s="215"/>
      <c r="N861" s="140"/>
      <c r="O861" s="215"/>
      <c r="P861" s="153"/>
      <c r="Q861" s="204" t="s">
        <v>3611</v>
      </c>
      <c r="R861" s="140"/>
      <c r="S861" s="225"/>
      <c r="T861" s="140"/>
      <c r="U861" s="215"/>
      <c r="V861" s="153"/>
      <c r="W861" s="215"/>
      <c r="X861" s="153"/>
      <c r="Y861" s="194"/>
    </row>
    <row r="862" spans="1:25" ht="21.95" customHeight="1" x14ac:dyDescent="0.2">
      <c r="A862" s="138"/>
      <c r="B862" s="138"/>
      <c r="C862" s="138"/>
      <c r="D862" s="138"/>
      <c r="E862" s="138"/>
      <c r="F862" s="138"/>
      <c r="G862" s="138"/>
      <c r="H862" s="215"/>
      <c r="I862" s="513"/>
      <c r="J862" s="514"/>
      <c r="K862" s="514"/>
      <c r="L862" s="514"/>
      <c r="M862" s="514"/>
      <c r="N862" s="514"/>
      <c r="O862" s="514"/>
      <c r="P862" s="165">
        <f ca="1">G484</f>
        <v>1</v>
      </c>
      <c r="Q862" s="466"/>
      <c r="R862" s="467"/>
      <c r="S862" s="467"/>
      <c r="T862" s="467"/>
      <c r="U862" s="467"/>
      <c r="V862" s="467"/>
      <c r="W862" s="468"/>
      <c r="X862" s="165" t="str">
        <f ca="1">G485</f>
        <v/>
      </c>
      <c r="Y862" s="194"/>
    </row>
    <row r="863" spans="1:25" ht="21.95" customHeight="1" x14ac:dyDescent="0.2">
      <c r="A863" s="138"/>
      <c r="B863" s="138"/>
      <c r="C863" s="138"/>
      <c r="D863" s="138"/>
      <c r="E863" s="138"/>
      <c r="F863" s="138"/>
      <c r="G863" s="138"/>
      <c r="H863" s="215"/>
      <c r="I863" s="538" t="str">
        <f ca="1">D484</f>
        <v/>
      </c>
      <c r="J863" s="543"/>
      <c r="K863" s="543"/>
      <c r="L863" s="543"/>
      <c r="M863" s="543"/>
      <c r="N863" s="543"/>
      <c r="O863" s="543"/>
      <c r="P863" s="153"/>
      <c r="Q863" s="712" t="s">
        <v>3612</v>
      </c>
      <c r="R863" s="712"/>
      <c r="S863" s="712"/>
      <c r="T863" s="712"/>
      <c r="U863" s="712"/>
      <c r="V863" s="712"/>
      <c r="W863" s="712"/>
      <c r="X863" s="153"/>
      <c r="Y863" s="194"/>
    </row>
    <row r="864" spans="1:25" ht="21.95" customHeight="1" x14ac:dyDescent="0.2">
      <c r="A864" s="138"/>
      <c r="B864" s="138"/>
      <c r="C864" s="138"/>
      <c r="D864" s="138"/>
      <c r="E864" s="138"/>
      <c r="F864" s="138"/>
      <c r="G864" s="138"/>
      <c r="H864" s="215"/>
      <c r="I864" s="215"/>
      <c r="J864" s="215"/>
      <c r="K864" s="215"/>
      <c r="L864" s="215"/>
      <c r="M864" s="215"/>
      <c r="N864" s="215"/>
      <c r="O864" s="215"/>
      <c r="P864" s="153"/>
      <c r="Q864" s="713"/>
      <c r="R864" s="713"/>
      <c r="S864" s="713"/>
      <c r="T864" s="713"/>
      <c r="U864" s="713"/>
      <c r="V864" s="713"/>
      <c r="W864" s="713"/>
      <c r="X864" s="153"/>
      <c r="Y864" s="194"/>
    </row>
    <row r="865" spans="8:25" ht="21.95" customHeight="1" x14ac:dyDescent="0.2">
      <c r="H865" s="215"/>
      <c r="I865" s="204" t="s">
        <v>3230</v>
      </c>
      <c r="J865" s="140"/>
      <c r="K865" s="202"/>
      <c r="L865" s="140"/>
      <c r="M865" s="202"/>
      <c r="N865" s="140"/>
      <c r="O865" s="202"/>
      <c r="P865" s="140"/>
      <c r="Q865" s="204" t="s">
        <v>3231</v>
      </c>
      <c r="R865" s="140"/>
      <c r="S865" s="202"/>
      <c r="T865" s="140"/>
      <c r="U865" s="202"/>
      <c r="V865" s="140"/>
      <c r="W865" s="202"/>
      <c r="X865" s="140"/>
      <c r="Y865" s="194"/>
    </row>
    <row r="866" spans="8:25" ht="21.95" customHeight="1" x14ac:dyDescent="0.2">
      <c r="H866" s="215"/>
      <c r="I866" s="673"/>
      <c r="J866" s="674"/>
      <c r="K866" s="674"/>
      <c r="L866" s="674"/>
      <c r="M866" s="674"/>
      <c r="N866" s="674"/>
      <c r="O866" s="674"/>
      <c r="P866" s="165" t="str">
        <f ca="1">G486</f>
        <v/>
      </c>
      <c r="Q866" s="673"/>
      <c r="R866" s="674"/>
      <c r="S866" s="674"/>
      <c r="T866" s="674"/>
      <c r="U866" s="674"/>
      <c r="V866" s="674"/>
      <c r="W866" s="674"/>
      <c r="X866" s="165" t="str">
        <f ca="1">G487</f>
        <v/>
      </c>
      <c r="Y866" s="194"/>
    </row>
    <row r="867" spans="8:25" ht="21.95" customHeight="1" x14ac:dyDescent="0.2">
      <c r="H867" s="215"/>
      <c r="I867" s="204" t="s">
        <v>3232</v>
      </c>
      <c r="J867" s="140"/>
      <c r="K867" s="202"/>
      <c r="L867" s="140"/>
      <c r="M867" s="215"/>
      <c r="N867" s="153"/>
      <c r="O867" s="215"/>
      <c r="P867" s="153"/>
      <c r="Q867" s="204" t="s">
        <v>3460</v>
      </c>
      <c r="R867" s="140"/>
      <c r="S867" s="202"/>
      <c r="T867" s="140"/>
      <c r="U867" s="215"/>
      <c r="V867" s="153"/>
      <c r="W867" s="215"/>
      <c r="X867" s="153"/>
      <c r="Y867" s="194"/>
    </row>
    <row r="868" spans="8:25" ht="21.95" customHeight="1" x14ac:dyDescent="0.2">
      <c r="H868" s="215"/>
      <c r="I868" s="671"/>
      <c r="J868" s="672"/>
      <c r="K868" s="672"/>
      <c r="L868" s="672"/>
      <c r="M868" s="672"/>
      <c r="N868" s="672"/>
      <c r="O868" s="672"/>
      <c r="P868" s="165" t="str">
        <f ca="1">G488</f>
        <v/>
      </c>
      <c r="Q868" s="596"/>
      <c r="R868" s="597"/>
      <c r="S868" s="597"/>
      <c r="T868" s="597"/>
      <c r="U868" s="597"/>
      <c r="V868" s="597"/>
      <c r="W868" s="597"/>
      <c r="X868" s="165" t="str">
        <f ca="1">G489</f>
        <v/>
      </c>
      <c r="Y868" s="194"/>
    </row>
    <row r="869" spans="8:25" ht="21.95" customHeight="1" x14ac:dyDescent="0.2">
      <c r="H869" s="215"/>
      <c r="I869" s="215"/>
      <c r="J869" s="153"/>
      <c r="K869" s="215"/>
      <c r="L869" s="153"/>
      <c r="M869" s="215"/>
      <c r="N869" s="153"/>
      <c r="O869" s="215"/>
      <c r="P869" s="153"/>
      <c r="Q869" s="215"/>
      <c r="R869" s="153"/>
      <c r="S869" s="215"/>
      <c r="T869" s="153"/>
      <c r="U869" s="215"/>
      <c r="V869" s="153"/>
      <c r="W869" s="215"/>
      <c r="X869" s="153"/>
      <c r="Y869" s="194"/>
    </row>
    <row r="870" spans="8:25" ht="21.95" customHeight="1" x14ac:dyDescent="0.2">
      <c r="H870" s="215"/>
      <c r="I870" s="455" t="s">
        <v>3233</v>
      </c>
      <c r="J870" s="660"/>
      <c r="K870" s="660"/>
      <c r="L870" s="660"/>
      <c r="M870" s="660"/>
      <c r="N870" s="660"/>
      <c r="O870" s="660"/>
      <c r="P870" s="660"/>
      <c r="Q870" s="660"/>
      <c r="R870" s="660"/>
      <c r="S870" s="660"/>
      <c r="T870" s="660"/>
      <c r="U870" s="660"/>
      <c r="V870" s="153"/>
      <c r="W870" s="316"/>
      <c r="X870" s="165" t="str">
        <f ca="1">G490</f>
        <v/>
      </c>
      <c r="Y870" s="194"/>
    </row>
    <row r="871" spans="8:25" ht="21.95" customHeight="1" x14ac:dyDescent="0.2">
      <c r="H871" s="215"/>
      <c r="I871" s="660"/>
      <c r="J871" s="660"/>
      <c r="K871" s="660"/>
      <c r="L871" s="660"/>
      <c r="M871" s="660"/>
      <c r="N871" s="660"/>
      <c r="O871" s="660"/>
      <c r="P871" s="660"/>
      <c r="Q871" s="660"/>
      <c r="R871" s="660"/>
      <c r="S871" s="660"/>
      <c r="T871" s="660"/>
      <c r="U871" s="660"/>
      <c r="V871" s="153"/>
      <c r="W871" s="215"/>
      <c r="X871" s="153"/>
      <c r="Y871" s="194"/>
    </row>
    <row r="872" spans="8:25" ht="21.95" customHeight="1" x14ac:dyDescent="0.2">
      <c r="H872" s="215"/>
      <c r="I872" s="670" t="s">
        <v>3493</v>
      </c>
      <c r="J872" s="670"/>
      <c r="K872" s="670"/>
      <c r="L872" s="670"/>
      <c r="M872" s="670"/>
      <c r="N872" s="670"/>
      <c r="O872" s="670"/>
      <c r="P872" s="670"/>
      <c r="Q872" s="670"/>
      <c r="R872" s="670"/>
      <c r="S872" s="670"/>
      <c r="T872" s="670"/>
      <c r="U872" s="670"/>
      <c r="V872" s="670"/>
      <c r="W872" s="670"/>
      <c r="X872" s="153"/>
      <c r="Y872" s="194"/>
    </row>
    <row r="873" spans="8:25" ht="21.95" customHeight="1" x14ac:dyDescent="0.2">
      <c r="H873" s="215"/>
      <c r="W873" s="175" t="str">
        <f>SUBSTITUTE(SUBSTITUTE(SUBSTITUTE(IF(LEN(B491)&gt;F491,CONFIG_CHAR_LIMIT_TEMPLATE_ERR,CONFIG_CHAR_LIMIT_TEMPLATE),"[diff]",ABS(LEN(B491)-F491)),"[limit]",F491),"[used]",LEN(B491))</f>
        <v>1000 character(s) remaining</v>
      </c>
      <c r="X873" s="153"/>
      <c r="Y873" s="194"/>
    </row>
    <row r="874" spans="8:25" ht="21.95" customHeight="1" x14ac:dyDescent="0.2">
      <c r="H874" s="215"/>
      <c r="I874" s="500"/>
      <c r="J874" s="501"/>
      <c r="K874" s="501"/>
      <c r="L874" s="501"/>
      <c r="M874" s="501"/>
      <c r="N874" s="501"/>
      <c r="O874" s="501"/>
      <c r="P874" s="501"/>
      <c r="Q874" s="501"/>
      <c r="R874" s="501"/>
      <c r="S874" s="501"/>
      <c r="T874" s="501"/>
      <c r="U874" s="501"/>
      <c r="V874" s="501"/>
      <c r="W874" s="502"/>
      <c r="X874" s="165" t="str">
        <f ca="1">G491</f>
        <v/>
      </c>
      <c r="Y874" s="194"/>
    </row>
    <row r="875" spans="8:25" ht="21.95" customHeight="1" x14ac:dyDescent="0.2">
      <c r="H875" s="215"/>
      <c r="I875" s="503"/>
      <c r="J875" s="504"/>
      <c r="K875" s="504"/>
      <c r="L875" s="504"/>
      <c r="M875" s="504"/>
      <c r="N875" s="504"/>
      <c r="O875" s="504"/>
      <c r="P875" s="504"/>
      <c r="Q875" s="504"/>
      <c r="R875" s="504"/>
      <c r="S875" s="504"/>
      <c r="T875" s="504"/>
      <c r="U875" s="504"/>
      <c r="V875" s="504"/>
      <c r="W875" s="505"/>
      <c r="X875" s="153"/>
      <c r="Y875" s="194"/>
    </row>
    <row r="876" spans="8:25" ht="21.95" customHeight="1" x14ac:dyDescent="0.2">
      <c r="H876" s="215"/>
      <c r="I876" s="506"/>
      <c r="J876" s="507"/>
      <c r="K876" s="507"/>
      <c r="L876" s="507"/>
      <c r="M876" s="507"/>
      <c r="N876" s="507"/>
      <c r="O876" s="507"/>
      <c r="P876" s="507"/>
      <c r="Q876" s="507"/>
      <c r="R876" s="507"/>
      <c r="S876" s="507"/>
      <c r="T876" s="507"/>
      <c r="U876" s="507"/>
      <c r="V876" s="507"/>
      <c r="W876" s="508"/>
      <c r="X876" s="153"/>
      <c r="Y876" s="194"/>
    </row>
    <row r="877" spans="8:25" ht="21.95" customHeight="1" x14ac:dyDescent="0.2">
      <c r="H877" s="215"/>
      <c r="I877" s="215"/>
      <c r="J877" s="235"/>
      <c r="K877" s="235"/>
      <c r="L877" s="235"/>
      <c r="M877" s="235"/>
      <c r="N877" s="235"/>
      <c r="O877" s="235"/>
      <c r="P877" s="235"/>
      <c r="Q877" s="235"/>
      <c r="R877" s="235"/>
      <c r="S877" s="235"/>
      <c r="T877" s="235"/>
      <c r="U877" s="215"/>
      <c r="V877" s="153"/>
      <c r="W877" s="215"/>
      <c r="X877" s="153"/>
      <c r="Y877" s="194"/>
    </row>
    <row r="878" spans="8:25" ht="21.95" customHeight="1" x14ac:dyDescent="0.2">
      <c r="H878" s="215"/>
      <c r="I878" s="455" t="s">
        <v>3234</v>
      </c>
      <c r="J878" s="660"/>
      <c r="K878" s="660"/>
      <c r="L878" s="660"/>
      <c r="M878" s="660"/>
      <c r="N878" s="660"/>
      <c r="O878" s="660"/>
      <c r="P878" s="660"/>
      <c r="Q878" s="660"/>
      <c r="R878" s="660"/>
      <c r="S878" s="660"/>
      <c r="T878" s="660"/>
      <c r="U878" s="660"/>
      <c r="V878" s="153"/>
      <c r="W878" s="316"/>
      <c r="X878" s="165" t="str">
        <f ca="1">G492</f>
        <v/>
      </c>
      <c r="Y878" s="194"/>
    </row>
    <row r="879" spans="8:25" ht="21.95" customHeight="1" x14ac:dyDescent="0.2">
      <c r="H879" s="215"/>
      <c r="I879" s="312" t="s">
        <v>3546</v>
      </c>
      <c r="J879" s="142"/>
      <c r="K879" s="142"/>
      <c r="L879" s="142"/>
      <c r="M879" s="142"/>
      <c r="N879" s="142"/>
      <c r="O879" s="142"/>
      <c r="P879" s="142"/>
      <c r="Q879" s="142"/>
      <c r="R879" s="142"/>
      <c r="S879" s="142"/>
      <c r="T879" s="142"/>
      <c r="U879" s="142"/>
      <c r="V879" s="142"/>
      <c r="W879" s="142"/>
      <c r="X879" s="153"/>
      <c r="Y879" s="194"/>
    </row>
    <row r="880" spans="8:25" ht="21.95" customHeight="1" x14ac:dyDescent="0.2">
      <c r="H880" s="215"/>
      <c r="I880" s="312" t="s">
        <v>3547</v>
      </c>
      <c r="J880" s="142"/>
      <c r="K880" s="142"/>
      <c r="L880" s="142"/>
      <c r="M880" s="142"/>
      <c r="N880" s="142"/>
      <c r="O880" s="142"/>
      <c r="P880" s="142"/>
      <c r="Q880" s="142"/>
      <c r="R880" s="142"/>
      <c r="S880" s="142"/>
      <c r="T880" s="142"/>
      <c r="U880" s="142"/>
      <c r="V880" s="142"/>
      <c r="W880" s="175" t="str">
        <f>SUBSTITUTE(SUBSTITUTE(SUBSTITUTE(IF(LEN(B493)&gt;F493,CONFIG_CHAR_LIMIT_TEMPLATE_ERR,CONFIG_CHAR_LIMIT_TEMPLATE),"[diff]",ABS(LEN(B493)-F493)),"[limit]",F493),"[used]",LEN(B493))</f>
        <v>1000 character(s) remaining</v>
      </c>
      <c r="X880" s="153"/>
      <c r="Y880" s="194"/>
    </row>
    <row r="881" spans="1:25" ht="21.95" customHeight="1" x14ac:dyDescent="0.2">
      <c r="H881" s="215"/>
      <c r="I881" s="500"/>
      <c r="J881" s="501"/>
      <c r="K881" s="501"/>
      <c r="L881" s="501"/>
      <c r="M881" s="501"/>
      <c r="N881" s="501"/>
      <c r="O881" s="501"/>
      <c r="P881" s="501"/>
      <c r="Q881" s="501"/>
      <c r="R881" s="501"/>
      <c r="S881" s="501"/>
      <c r="T881" s="501"/>
      <c r="U881" s="501"/>
      <c r="V881" s="501"/>
      <c r="W881" s="502"/>
      <c r="X881" s="165" t="str">
        <f ca="1">G493</f>
        <v/>
      </c>
      <c r="Y881" s="194"/>
    </row>
    <row r="882" spans="1:25" ht="21.95" customHeight="1" x14ac:dyDescent="0.2">
      <c r="H882" s="215"/>
      <c r="I882" s="503"/>
      <c r="J882" s="504"/>
      <c r="K882" s="504"/>
      <c r="L882" s="504"/>
      <c r="M882" s="504"/>
      <c r="N882" s="504"/>
      <c r="O882" s="504"/>
      <c r="P882" s="504"/>
      <c r="Q882" s="504"/>
      <c r="R882" s="504"/>
      <c r="S882" s="504"/>
      <c r="T882" s="504"/>
      <c r="U882" s="504"/>
      <c r="V882" s="504"/>
      <c r="W882" s="505"/>
      <c r="X882" s="153"/>
      <c r="Y882" s="194"/>
    </row>
    <row r="883" spans="1:25" ht="21.95" customHeight="1" x14ac:dyDescent="0.2">
      <c r="H883" s="215"/>
      <c r="I883" s="506"/>
      <c r="J883" s="507"/>
      <c r="K883" s="507"/>
      <c r="L883" s="507"/>
      <c r="M883" s="507"/>
      <c r="N883" s="507"/>
      <c r="O883" s="507"/>
      <c r="P883" s="507"/>
      <c r="Q883" s="507"/>
      <c r="R883" s="507"/>
      <c r="S883" s="507"/>
      <c r="T883" s="507"/>
      <c r="U883" s="507"/>
      <c r="V883" s="507"/>
      <c r="W883" s="508"/>
      <c r="X883" s="153"/>
      <c r="Y883" s="194"/>
    </row>
    <row r="884" spans="1:25" ht="21.95" customHeight="1" x14ac:dyDescent="0.2">
      <c r="H884" s="215"/>
      <c r="I884" s="225"/>
      <c r="J884" s="140"/>
      <c r="K884" s="225"/>
      <c r="L884" s="140"/>
      <c r="M884" s="225"/>
      <c r="N884" s="140"/>
      <c r="O884" s="225"/>
      <c r="P884" s="140"/>
      <c r="Q884" s="215"/>
      <c r="R884" s="153"/>
      <c r="S884" s="215"/>
      <c r="T884" s="153"/>
      <c r="U884" s="215"/>
      <c r="V884" s="153"/>
      <c r="W884" s="215"/>
      <c r="X884" s="153"/>
      <c r="Y884" s="194"/>
    </row>
    <row r="885" spans="1:25" ht="21.95" customHeight="1" x14ac:dyDescent="0.2">
      <c r="H885" s="215"/>
      <c r="I885" s="260" t="s">
        <v>3239</v>
      </c>
      <c r="J885" s="260"/>
      <c r="K885" s="260"/>
      <c r="L885" s="260"/>
      <c r="M885" s="260"/>
      <c r="N885" s="260"/>
      <c r="O885" s="260"/>
      <c r="P885" s="260"/>
      <c r="Q885" s="261"/>
      <c r="R885" s="262"/>
      <c r="S885" s="261"/>
      <c r="T885" s="262"/>
      <c r="U885" s="261"/>
      <c r="V885" s="262"/>
      <c r="W885" s="261"/>
      <c r="X885" s="153"/>
      <c r="Y885" s="194"/>
    </row>
    <row r="886" spans="1:25" ht="21.95" customHeight="1" x14ac:dyDescent="0.2">
      <c r="H886" s="215"/>
      <c r="I886" s="204" t="s">
        <v>3461</v>
      </c>
      <c r="J886" s="140"/>
      <c r="K886" s="225"/>
      <c r="L886" s="140"/>
      <c r="M886" s="215"/>
      <c r="N886" s="140"/>
      <c r="O886" s="215"/>
      <c r="P886" s="153"/>
      <c r="Q886" s="204" t="s">
        <v>3611</v>
      </c>
      <c r="R886" s="140"/>
      <c r="S886" s="225"/>
      <c r="T886" s="140"/>
      <c r="U886" s="215"/>
      <c r="V886" s="153"/>
      <c r="W886" s="215"/>
      <c r="X886" s="153"/>
      <c r="Y886" s="194"/>
    </row>
    <row r="887" spans="1:25" ht="21.95" customHeight="1" x14ac:dyDescent="0.2">
      <c r="H887" s="215"/>
      <c r="I887" s="513"/>
      <c r="J887" s="514"/>
      <c r="K887" s="514"/>
      <c r="L887" s="514"/>
      <c r="M887" s="514"/>
      <c r="N887" s="514"/>
      <c r="O887" s="514"/>
      <c r="P887" s="165">
        <f ca="1">G494</f>
        <v>1</v>
      </c>
      <c r="Q887" s="466"/>
      <c r="R887" s="467"/>
      <c r="S887" s="467"/>
      <c r="T887" s="467"/>
      <c r="U887" s="467"/>
      <c r="V887" s="467"/>
      <c r="W887" s="468"/>
      <c r="X887" s="165" t="str">
        <f ca="1">G495</f>
        <v/>
      </c>
      <c r="Y887" s="194"/>
    </row>
    <row r="888" spans="1:25" ht="21.95" customHeight="1" x14ac:dyDescent="0.2">
      <c r="H888" s="215"/>
      <c r="I888" s="538" t="str">
        <f ca="1">D494</f>
        <v/>
      </c>
      <c r="J888" s="543"/>
      <c r="K888" s="543"/>
      <c r="L888" s="543"/>
      <c r="M888" s="543"/>
      <c r="N888" s="543"/>
      <c r="O888" s="543"/>
      <c r="P888" s="153"/>
      <c r="Q888" s="712" t="s">
        <v>3612</v>
      </c>
      <c r="R888" s="712"/>
      <c r="S888" s="712"/>
      <c r="T888" s="712"/>
      <c r="U888" s="712"/>
      <c r="V888" s="712"/>
      <c r="W888" s="712"/>
      <c r="X888" s="153"/>
      <c r="Y888" s="194"/>
    </row>
    <row r="889" spans="1:25" ht="21.95" customHeight="1" x14ac:dyDescent="0.2">
      <c r="H889" s="215"/>
      <c r="I889" s="215"/>
      <c r="J889" s="215"/>
      <c r="K889" s="215"/>
      <c r="L889" s="215"/>
      <c r="M889" s="215"/>
      <c r="N889" s="215"/>
      <c r="O889" s="215"/>
      <c r="P889" s="153"/>
      <c r="Q889" s="713"/>
      <c r="R889" s="713"/>
      <c r="S889" s="713"/>
      <c r="T889" s="713"/>
      <c r="U889" s="713"/>
      <c r="V889" s="713"/>
      <c r="W889" s="713"/>
      <c r="X889" s="153"/>
      <c r="Y889" s="194"/>
    </row>
    <row r="890" spans="1:25" ht="21.95" customHeight="1" x14ac:dyDescent="0.2">
      <c r="H890" s="215"/>
      <c r="I890" s="204" t="s">
        <v>3235</v>
      </c>
      <c r="J890" s="140"/>
      <c r="K890" s="202"/>
      <c r="L890" s="140"/>
      <c r="M890" s="202"/>
      <c r="N890" s="140"/>
      <c r="O890" s="202"/>
      <c r="P890" s="140"/>
      <c r="Q890" s="204" t="s">
        <v>3231</v>
      </c>
      <c r="R890" s="140"/>
      <c r="S890" s="202"/>
      <c r="T890" s="140"/>
      <c r="U890" s="202"/>
      <c r="V890" s="140"/>
      <c r="W890" s="202"/>
      <c r="X890" s="140"/>
      <c r="Y890" s="194"/>
    </row>
    <row r="891" spans="1:25" ht="21.95" customHeight="1" x14ac:dyDescent="0.2">
      <c r="H891" s="215"/>
      <c r="I891" s="673"/>
      <c r="J891" s="674"/>
      <c r="K891" s="674"/>
      <c r="L891" s="674"/>
      <c r="M891" s="674"/>
      <c r="N891" s="674"/>
      <c r="O891" s="674"/>
      <c r="P891" s="165" t="str">
        <f ca="1">G496</f>
        <v/>
      </c>
      <c r="Q891" s="673"/>
      <c r="R891" s="674"/>
      <c r="S891" s="674"/>
      <c r="T891" s="674"/>
      <c r="U891" s="674"/>
      <c r="V891" s="674"/>
      <c r="W891" s="674"/>
      <c r="X891" s="165" t="str">
        <f ca="1">G497</f>
        <v/>
      </c>
      <c r="Y891" s="194"/>
    </row>
    <row r="892" spans="1:25" ht="21.95" customHeight="1" x14ac:dyDescent="0.2">
      <c r="H892" s="215"/>
      <c r="I892" s="204" t="s">
        <v>3236</v>
      </c>
      <c r="J892" s="140"/>
      <c r="K892" s="202"/>
      <c r="L892" s="140"/>
      <c r="M892" s="215"/>
      <c r="N892" s="153"/>
      <c r="O892" s="215"/>
      <c r="P892" s="153"/>
      <c r="Q892" s="204" t="s">
        <v>3462</v>
      </c>
      <c r="R892" s="140"/>
      <c r="S892" s="202"/>
      <c r="T892" s="140"/>
      <c r="U892" s="215"/>
      <c r="V892" s="153"/>
      <c r="W892" s="215"/>
      <c r="X892" s="153"/>
      <c r="Y892" s="194"/>
    </row>
    <row r="893" spans="1:25" ht="21.95" customHeight="1" x14ac:dyDescent="0.2">
      <c r="H893" s="215"/>
      <c r="I893" s="671"/>
      <c r="J893" s="672"/>
      <c r="K893" s="672"/>
      <c r="L893" s="672"/>
      <c r="M893" s="672"/>
      <c r="N893" s="672"/>
      <c r="O893" s="672"/>
      <c r="P893" s="165" t="str">
        <f ca="1">G497</f>
        <v/>
      </c>
      <c r="Q893" s="596"/>
      <c r="R893" s="597"/>
      <c r="S893" s="597"/>
      <c r="T893" s="597"/>
      <c r="U893" s="597"/>
      <c r="V893" s="597"/>
      <c r="W893" s="597"/>
      <c r="X893" s="165" t="str">
        <f ca="1">G499</f>
        <v/>
      </c>
      <c r="Y893" s="194"/>
    </row>
    <row r="894" spans="1:25" ht="21.95" customHeight="1" x14ac:dyDescent="0.2">
      <c r="H894" s="215"/>
      <c r="I894" s="215"/>
      <c r="J894" s="153"/>
      <c r="K894" s="215"/>
      <c r="L894" s="153"/>
      <c r="M894" s="215"/>
      <c r="N894" s="153"/>
      <c r="O894" s="215"/>
      <c r="P894" s="153"/>
      <c r="Q894" s="215"/>
      <c r="R894" s="153"/>
      <c r="S894" s="215"/>
      <c r="T894" s="153"/>
      <c r="U894" s="215"/>
      <c r="V894" s="153"/>
      <c r="W894" s="215"/>
      <c r="X894" s="153"/>
      <c r="Y894" s="194"/>
    </row>
    <row r="895" spans="1:25" ht="21.95" customHeight="1" x14ac:dyDescent="0.2">
      <c r="A895" s="301"/>
      <c r="B895" s="302"/>
      <c r="C895" s="301"/>
      <c r="D895" s="301"/>
      <c r="E895" s="301"/>
      <c r="F895" s="301"/>
      <c r="G895" s="301"/>
      <c r="H895" s="215"/>
      <c r="I895" s="455" t="s">
        <v>3237</v>
      </c>
      <c r="J895" s="660"/>
      <c r="K895" s="660"/>
      <c r="L895" s="660"/>
      <c r="M895" s="660"/>
      <c r="N895" s="660"/>
      <c r="O895" s="660"/>
      <c r="P895" s="660"/>
      <c r="Q895" s="660"/>
      <c r="R895" s="660"/>
      <c r="S895" s="660"/>
      <c r="T895" s="660"/>
      <c r="U895" s="660"/>
      <c r="V895" s="153"/>
      <c r="W895" s="212"/>
      <c r="X895" s="165" t="str">
        <f ca="1">G500</f>
        <v/>
      </c>
      <c r="Y895" s="194"/>
    </row>
    <row r="896" spans="1:25" ht="21.95" customHeight="1" x14ac:dyDescent="0.2">
      <c r="A896" s="301"/>
      <c r="B896" s="302"/>
      <c r="C896" s="301"/>
      <c r="D896" s="301"/>
      <c r="E896" s="301"/>
      <c r="F896" s="301"/>
      <c r="G896" s="301"/>
      <c r="H896" s="215"/>
      <c r="I896" s="660"/>
      <c r="J896" s="660"/>
      <c r="K896" s="660"/>
      <c r="L896" s="660"/>
      <c r="M896" s="660"/>
      <c r="N896" s="660"/>
      <c r="O896" s="660"/>
      <c r="P896" s="660"/>
      <c r="Q896" s="660"/>
      <c r="R896" s="660"/>
      <c r="S896" s="660"/>
      <c r="T896" s="660"/>
      <c r="U896" s="660"/>
      <c r="V896" s="153"/>
      <c r="W896" s="215"/>
      <c r="X896" s="153"/>
      <c r="Y896" s="194"/>
    </row>
    <row r="897" spans="1:25" ht="21.95" customHeight="1" x14ac:dyDescent="0.2">
      <c r="A897" s="301"/>
      <c r="B897" s="302"/>
      <c r="C897" s="301"/>
      <c r="D897" s="301"/>
      <c r="E897" s="301"/>
      <c r="F897" s="301"/>
      <c r="G897" s="301"/>
      <c r="H897" s="215"/>
      <c r="I897" s="670" t="s">
        <v>3495</v>
      </c>
      <c r="J897" s="670"/>
      <c r="K897" s="670"/>
      <c r="L897" s="670"/>
      <c r="M897" s="670"/>
      <c r="N897" s="670"/>
      <c r="O897" s="670"/>
      <c r="P897" s="670"/>
      <c r="Q897" s="670"/>
      <c r="R897" s="670"/>
      <c r="S897" s="670"/>
      <c r="T897" s="670"/>
      <c r="U897" s="670"/>
      <c r="V897" s="670"/>
      <c r="W897" s="670"/>
      <c r="X897" s="153"/>
      <c r="Y897" s="194"/>
    </row>
    <row r="898" spans="1:25" ht="21.95" customHeight="1" x14ac:dyDescent="0.2">
      <c r="A898" s="301"/>
      <c r="B898" s="302"/>
      <c r="C898" s="301"/>
      <c r="D898" s="301"/>
      <c r="E898" s="301"/>
      <c r="F898" s="301"/>
      <c r="G898" s="301"/>
      <c r="H898" s="215"/>
      <c r="W898" s="175" t="str">
        <f>SUBSTITUTE(SUBSTITUTE(SUBSTITUTE(IF(LEN(B501)&gt;F501,CONFIG_CHAR_LIMIT_TEMPLATE_ERR,CONFIG_CHAR_LIMIT_TEMPLATE),"[diff]",ABS(LEN(B501)-F501)),"[limit]",F501),"[used]",LEN(B501))</f>
        <v>1000 character(s) remaining</v>
      </c>
      <c r="X898" s="153"/>
      <c r="Y898" s="194"/>
    </row>
    <row r="899" spans="1:25" ht="21.95" customHeight="1" x14ac:dyDescent="0.2">
      <c r="A899" s="301"/>
      <c r="B899" s="302"/>
      <c r="C899" s="301"/>
      <c r="D899" s="301"/>
      <c r="E899" s="301"/>
      <c r="F899" s="301"/>
      <c r="G899" s="301"/>
      <c r="H899" s="215"/>
      <c r="I899" s="500"/>
      <c r="J899" s="501"/>
      <c r="K899" s="501"/>
      <c r="L899" s="501"/>
      <c r="M899" s="501"/>
      <c r="N899" s="501"/>
      <c r="O899" s="501"/>
      <c r="P899" s="501"/>
      <c r="Q899" s="501"/>
      <c r="R899" s="501"/>
      <c r="S899" s="501"/>
      <c r="T899" s="501"/>
      <c r="U899" s="501"/>
      <c r="V899" s="501"/>
      <c r="W899" s="502"/>
      <c r="X899" s="165" t="str">
        <f ca="1">G501</f>
        <v/>
      </c>
      <c r="Y899" s="194"/>
    </row>
    <row r="900" spans="1:25" ht="21.95" customHeight="1" x14ac:dyDescent="0.2">
      <c r="A900" s="301"/>
      <c r="B900" s="302"/>
      <c r="C900" s="301"/>
      <c r="D900" s="301"/>
      <c r="E900" s="301"/>
      <c r="F900" s="301"/>
      <c r="G900" s="301"/>
      <c r="H900" s="215"/>
      <c r="I900" s="503"/>
      <c r="J900" s="504"/>
      <c r="K900" s="504"/>
      <c r="L900" s="504"/>
      <c r="M900" s="504"/>
      <c r="N900" s="504"/>
      <c r="O900" s="504"/>
      <c r="P900" s="504"/>
      <c r="Q900" s="504"/>
      <c r="R900" s="504"/>
      <c r="S900" s="504"/>
      <c r="T900" s="504"/>
      <c r="U900" s="504"/>
      <c r="V900" s="504"/>
      <c r="W900" s="505"/>
      <c r="X900" s="153"/>
      <c r="Y900" s="194"/>
    </row>
    <row r="901" spans="1:25" ht="21.95" customHeight="1" x14ac:dyDescent="0.2">
      <c r="A901" s="301"/>
      <c r="B901" s="302"/>
      <c r="C901" s="301"/>
      <c r="D901" s="301"/>
      <c r="E901" s="301"/>
      <c r="F901" s="301"/>
      <c r="G901" s="301"/>
      <c r="H901" s="215"/>
      <c r="I901" s="506"/>
      <c r="J901" s="507"/>
      <c r="K901" s="507"/>
      <c r="L901" s="507"/>
      <c r="M901" s="507"/>
      <c r="N901" s="507"/>
      <c r="O901" s="507"/>
      <c r="P901" s="507"/>
      <c r="Q901" s="507"/>
      <c r="R901" s="507"/>
      <c r="S901" s="507"/>
      <c r="T901" s="507"/>
      <c r="U901" s="507"/>
      <c r="V901" s="507"/>
      <c r="W901" s="508"/>
      <c r="X901" s="153"/>
      <c r="Y901" s="194"/>
    </row>
    <row r="902" spans="1:25" ht="21.95" customHeight="1" x14ac:dyDescent="0.2">
      <c r="A902" s="301"/>
      <c r="B902" s="302"/>
      <c r="C902" s="301"/>
      <c r="D902" s="301"/>
      <c r="E902" s="301"/>
      <c r="F902" s="301"/>
      <c r="G902" s="301"/>
      <c r="H902" s="215"/>
      <c r="I902" s="215"/>
      <c r="J902" s="235"/>
      <c r="K902" s="235"/>
      <c r="L902" s="235"/>
      <c r="M902" s="235"/>
      <c r="N902" s="235"/>
      <c r="O902" s="235"/>
      <c r="P902" s="235"/>
      <c r="Q902" s="235"/>
      <c r="R902" s="235"/>
      <c r="S902" s="235"/>
      <c r="T902" s="235"/>
      <c r="U902" s="215"/>
      <c r="V902" s="153"/>
      <c r="W902" s="215"/>
      <c r="X902" s="153"/>
      <c r="Y902" s="194"/>
    </row>
    <row r="903" spans="1:25" ht="21.95" customHeight="1" x14ac:dyDescent="0.2">
      <c r="A903" s="301"/>
      <c r="B903" s="302"/>
      <c r="C903" s="301"/>
      <c r="D903" s="301"/>
      <c r="E903" s="301"/>
      <c r="F903" s="301"/>
      <c r="G903" s="301"/>
      <c r="H903" s="215"/>
      <c r="I903" s="455" t="s">
        <v>3234</v>
      </c>
      <c r="J903" s="660"/>
      <c r="K903" s="660"/>
      <c r="L903" s="660"/>
      <c r="M903" s="660"/>
      <c r="N903" s="660"/>
      <c r="O903" s="660"/>
      <c r="P903" s="660"/>
      <c r="Q903" s="660"/>
      <c r="R903" s="660"/>
      <c r="S903" s="660"/>
      <c r="T903" s="660"/>
      <c r="U903" s="660"/>
      <c r="V903" s="153"/>
      <c r="W903" s="212"/>
      <c r="X903" s="165" t="str">
        <f ca="1">G502</f>
        <v/>
      </c>
      <c r="Y903" s="194"/>
    </row>
    <row r="904" spans="1:25" ht="21.95" customHeight="1" x14ac:dyDescent="0.2">
      <c r="A904" s="301"/>
      <c r="B904" s="302"/>
      <c r="C904" s="301"/>
      <c r="D904" s="301"/>
      <c r="E904" s="301"/>
      <c r="F904" s="301"/>
      <c r="G904" s="301"/>
      <c r="H904" s="215"/>
      <c r="I904" s="312" t="s">
        <v>3546</v>
      </c>
      <c r="J904" s="142"/>
      <c r="K904" s="142"/>
      <c r="L904" s="142"/>
      <c r="M904" s="142"/>
      <c r="N904" s="142"/>
      <c r="O904" s="142"/>
      <c r="P904" s="142"/>
      <c r="Q904" s="142"/>
      <c r="R904" s="142"/>
      <c r="S904" s="142"/>
      <c r="T904" s="142"/>
      <c r="U904" s="142"/>
      <c r="V904" s="142"/>
      <c r="W904" s="142"/>
      <c r="X904" s="153"/>
      <c r="Y904" s="194"/>
    </row>
    <row r="905" spans="1:25" ht="21.95" customHeight="1" x14ac:dyDescent="0.2">
      <c r="A905" s="301"/>
      <c r="B905" s="302"/>
      <c r="C905" s="301"/>
      <c r="D905" s="301"/>
      <c r="E905" s="301"/>
      <c r="F905" s="301"/>
      <c r="G905" s="301"/>
      <c r="H905" s="215"/>
      <c r="I905" s="312" t="s">
        <v>3547</v>
      </c>
      <c r="J905" s="142"/>
      <c r="K905" s="142"/>
      <c r="L905" s="142"/>
      <c r="M905" s="142"/>
      <c r="N905" s="142"/>
      <c r="O905" s="142"/>
      <c r="P905" s="142"/>
      <c r="Q905" s="142"/>
      <c r="R905" s="142"/>
      <c r="S905" s="142"/>
      <c r="T905" s="142"/>
      <c r="U905" s="142"/>
      <c r="V905" s="142"/>
      <c r="W905" s="175" t="str">
        <f>SUBSTITUTE(SUBSTITUTE(SUBSTITUTE(IF(LEN(B503)&gt;F503,CONFIG_CHAR_LIMIT_TEMPLATE_ERR,CONFIG_CHAR_LIMIT_TEMPLATE),"[diff]",ABS(LEN(B503)-F503)),"[limit]",F503),"[used]",LEN(B503))</f>
        <v>1000 character(s) remaining</v>
      </c>
      <c r="X905" s="153"/>
      <c r="Y905" s="194"/>
    </row>
    <row r="906" spans="1:25" ht="21.95" customHeight="1" x14ac:dyDescent="0.2">
      <c r="A906" s="301"/>
      <c r="B906" s="302"/>
      <c r="C906" s="301"/>
      <c r="D906" s="301"/>
      <c r="E906" s="301"/>
      <c r="F906" s="301"/>
      <c r="G906" s="301"/>
      <c r="H906" s="215"/>
      <c r="I906" s="500"/>
      <c r="J906" s="501"/>
      <c r="K906" s="501"/>
      <c r="L906" s="501"/>
      <c r="M906" s="501"/>
      <c r="N906" s="501"/>
      <c r="O906" s="501"/>
      <c r="P906" s="501"/>
      <c r="Q906" s="501"/>
      <c r="R906" s="501"/>
      <c r="S906" s="501"/>
      <c r="T906" s="501"/>
      <c r="U906" s="501"/>
      <c r="V906" s="501"/>
      <c r="W906" s="502"/>
      <c r="X906" s="165" t="str">
        <f ca="1">G503</f>
        <v/>
      </c>
      <c r="Y906" s="194"/>
    </row>
    <row r="907" spans="1:25" ht="21.95" customHeight="1" x14ac:dyDescent="0.2">
      <c r="A907" s="301"/>
      <c r="B907" s="302"/>
      <c r="C907" s="301"/>
      <c r="D907" s="301"/>
      <c r="E907" s="301"/>
      <c r="F907" s="301"/>
      <c r="G907" s="301"/>
      <c r="H907" s="215"/>
      <c r="I907" s="503"/>
      <c r="J907" s="504"/>
      <c r="K907" s="504"/>
      <c r="L907" s="504"/>
      <c r="M907" s="504"/>
      <c r="N907" s="504"/>
      <c r="O907" s="504"/>
      <c r="P907" s="504"/>
      <c r="Q907" s="504"/>
      <c r="R907" s="504"/>
      <c r="S907" s="504"/>
      <c r="T907" s="504"/>
      <c r="U907" s="504"/>
      <c r="V907" s="504"/>
      <c r="W907" s="505"/>
      <c r="X907" s="153"/>
      <c r="Y907" s="194"/>
    </row>
    <row r="908" spans="1:25" ht="21.95" customHeight="1" x14ac:dyDescent="0.2">
      <c r="A908" s="301"/>
      <c r="B908" s="302"/>
      <c r="C908" s="301"/>
      <c r="D908" s="301"/>
      <c r="E908" s="301"/>
      <c r="F908" s="301"/>
      <c r="G908" s="301"/>
      <c r="H908" s="215"/>
      <c r="I908" s="506"/>
      <c r="J908" s="507"/>
      <c r="K908" s="507"/>
      <c r="L908" s="507"/>
      <c r="M908" s="507"/>
      <c r="N908" s="507"/>
      <c r="O908" s="507"/>
      <c r="P908" s="507"/>
      <c r="Q908" s="507"/>
      <c r="R908" s="507"/>
      <c r="S908" s="507"/>
      <c r="T908" s="507"/>
      <c r="U908" s="507"/>
      <c r="V908" s="507"/>
      <c r="W908" s="508"/>
      <c r="X908" s="153"/>
      <c r="Y908" s="194"/>
    </row>
    <row r="909" spans="1:25" ht="21.95" customHeight="1" x14ac:dyDescent="0.2">
      <c r="A909" s="301"/>
      <c r="B909" s="302"/>
      <c r="C909" s="301"/>
      <c r="D909" s="301"/>
      <c r="E909" s="301"/>
      <c r="F909" s="301"/>
      <c r="G909" s="301"/>
      <c r="H909" s="215"/>
      <c r="I909" s="225"/>
      <c r="J909" s="140"/>
      <c r="K909" s="225"/>
      <c r="L909" s="140"/>
      <c r="M909" s="225"/>
      <c r="N909" s="140"/>
      <c r="O909" s="225"/>
      <c r="P909" s="140"/>
      <c r="Q909" s="215"/>
      <c r="R909" s="153"/>
      <c r="S909" s="215"/>
      <c r="T909" s="153"/>
      <c r="U909" s="215"/>
      <c r="V909" s="153"/>
      <c r="W909" s="215"/>
      <c r="X909" s="153"/>
      <c r="Y909" s="194"/>
    </row>
    <row r="910" spans="1:25" ht="21.95" customHeight="1" thickBot="1" x14ac:dyDescent="0.25">
      <c r="A910" s="301"/>
      <c r="B910" s="302"/>
      <c r="C910" s="301"/>
      <c r="D910" s="301"/>
      <c r="E910" s="301"/>
      <c r="F910" s="301"/>
      <c r="G910" s="301"/>
      <c r="H910" s="215"/>
      <c r="I910" s="216" t="s">
        <v>3371</v>
      </c>
      <c r="J910" s="217"/>
      <c r="K910" s="223"/>
      <c r="L910" s="217"/>
      <c r="M910" s="223"/>
      <c r="N910" s="217"/>
      <c r="O910" s="223"/>
      <c r="P910" s="217"/>
      <c r="Q910" s="255"/>
      <c r="R910" s="217"/>
      <c r="S910" s="223"/>
      <c r="T910" s="217"/>
      <c r="U910" s="223"/>
      <c r="V910" s="217"/>
      <c r="W910" s="223"/>
      <c r="X910" s="153"/>
      <c r="Y910" s="194"/>
    </row>
    <row r="911" spans="1:25" ht="21.95" customHeight="1" thickTop="1" x14ac:dyDescent="0.2">
      <c r="A911" s="301"/>
      <c r="B911" s="302"/>
      <c r="C911" s="301"/>
      <c r="D911" s="301"/>
      <c r="E911" s="301"/>
      <c r="F911" s="301"/>
      <c r="G911" s="301"/>
      <c r="H911" s="215"/>
      <c r="I911" s="215"/>
      <c r="J911" s="153"/>
      <c r="K911" s="215"/>
      <c r="L911" s="153"/>
      <c r="M911" s="215"/>
      <c r="N911" s="153"/>
      <c r="O911" s="215"/>
      <c r="P911" s="153"/>
      <c r="Q911" s="215"/>
      <c r="R911" s="153"/>
      <c r="S911" s="215"/>
      <c r="T911" s="153"/>
      <c r="U911" s="215"/>
      <c r="V911" s="153"/>
      <c r="W911" s="215"/>
      <c r="X911" s="153"/>
      <c r="Y911" s="194"/>
    </row>
    <row r="912" spans="1:25" ht="21.95" customHeight="1" x14ac:dyDescent="0.2">
      <c r="A912" s="301"/>
      <c r="B912" s="302"/>
      <c r="C912" s="301"/>
      <c r="D912" s="301"/>
      <c r="E912" s="301"/>
      <c r="F912" s="301"/>
      <c r="G912" s="301"/>
      <c r="H912" s="215"/>
      <c r="I912" s="499" t="s">
        <v>3240</v>
      </c>
      <c r="J912" s="498"/>
      <c r="K912" s="498"/>
      <c r="L912" s="498"/>
      <c r="M912" s="498"/>
      <c r="N912" s="498"/>
      <c r="O912" s="498"/>
      <c r="P912" s="498"/>
      <c r="Q912" s="498"/>
      <c r="R912" s="498"/>
      <c r="S912" s="498"/>
      <c r="T912" s="498"/>
      <c r="U912" s="498"/>
      <c r="V912" s="153"/>
      <c r="W912" s="230"/>
      <c r="X912" s="165" t="str">
        <f ca="1">G506</f>
        <v/>
      </c>
      <c r="Y912" s="194"/>
    </row>
    <row r="913" spans="1:25" ht="21.95" customHeight="1" x14ac:dyDescent="0.2">
      <c r="A913" s="301"/>
      <c r="B913" s="302"/>
      <c r="C913" s="301"/>
      <c r="D913" s="301"/>
      <c r="E913" s="301"/>
      <c r="F913" s="301"/>
      <c r="G913" s="301"/>
      <c r="H913" s="215"/>
      <c r="I913" s="194"/>
      <c r="J913" s="153"/>
      <c r="K913" s="194"/>
      <c r="L913" s="153"/>
      <c r="M913" s="194"/>
      <c r="N913" s="153"/>
      <c r="O913" s="194"/>
      <c r="P913" s="153"/>
      <c r="Q913" s="194"/>
      <c r="R913" s="153"/>
      <c r="S913" s="488" t="str">
        <f ca="1">D506</f>
        <v/>
      </c>
      <c r="T913" s="488"/>
      <c r="U913" s="488"/>
      <c r="V913" s="488"/>
      <c r="W913" s="488"/>
      <c r="X913" s="153"/>
      <c r="Y913" s="194"/>
    </row>
    <row r="914" spans="1:25" ht="21.95" customHeight="1" x14ac:dyDescent="0.2">
      <c r="A914" s="301"/>
      <c r="B914" s="302"/>
      <c r="C914" s="301"/>
      <c r="D914" s="301"/>
      <c r="E914" s="301"/>
      <c r="F914" s="301"/>
      <c r="G914" s="301"/>
      <c r="H914" s="215"/>
      <c r="I914" s="563" t="s">
        <v>3241</v>
      </c>
      <c r="J914" s="614"/>
      <c r="K914" s="614"/>
      <c r="L914" s="614"/>
      <c r="M914" s="614"/>
      <c r="N914" s="614"/>
      <c r="O914" s="614"/>
      <c r="P914" s="614"/>
      <c r="Q914" s="614"/>
      <c r="R914" s="614"/>
      <c r="S914" s="614"/>
      <c r="T914" s="150"/>
      <c r="U914" s="671"/>
      <c r="V914" s="672"/>
      <c r="W914" s="672"/>
      <c r="X914" s="165" t="str">
        <f ca="1">G507</f>
        <v/>
      </c>
      <c r="Y914" s="194"/>
    </row>
    <row r="915" spans="1:25" ht="21.95" customHeight="1" x14ac:dyDescent="0.2">
      <c r="A915" s="301"/>
      <c r="B915" s="302"/>
      <c r="C915" s="301"/>
      <c r="D915" s="301"/>
      <c r="E915" s="301"/>
      <c r="F915" s="301"/>
      <c r="G915" s="301"/>
      <c r="H915" s="215"/>
      <c r="I915" s="614"/>
      <c r="J915" s="614"/>
      <c r="K915" s="614"/>
      <c r="L915" s="614"/>
      <c r="M915" s="614"/>
      <c r="N915" s="614"/>
      <c r="O915" s="614"/>
      <c r="P915" s="614"/>
      <c r="Q915" s="614"/>
      <c r="R915" s="614"/>
      <c r="S915" s="614"/>
      <c r="T915" s="150"/>
      <c r="U915" s="150"/>
      <c r="V915" s="153"/>
      <c r="W915" s="194"/>
      <c r="X915" s="153"/>
      <c r="Y915" s="194"/>
    </row>
    <row r="916" spans="1:25" ht="21.95" customHeight="1" x14ac:dyDescent="0.2">
      <c r="A916" s="301"/>
      <c r="B916" s="302"/>
      <c r="C916" s="301"/>
      <c r="D916" s="301"/>
      <c r="E916" s="301"/>
      <c r="F916" s="301"/>
      <c r="G916" s="301"/>
      <c r="H916" s="215"/>
      <c r="I916" s="215"/>
      <c r="J916" s="153"/>
      <c r="K916" s="215"/>
      <c r="L916" s="153"/>
      <c r="M916" s="215"/>
      <c r="N916" s="153"/>
      <c r="O916" s="215"/>
      <c r="P916" s="153"/>
      <c r="Q916" s="215"/>
      <c r="R916" s="153"/>
      <c r="S916" s="215"/>
      <c r="T916" s="153"/>
      <c r="U916" s="215"/>
      <c r="V916" s="153"/>
      <c r="W916" s="215"/>
      <c r="X916" s="140"/>
      <c r="Y916" s="194"/>
    </row>
    <row r="917" spans="1:25" ht="21.95" customHeight="1" x14ac:dyDescent="0.2">
      <c r="A917" s="301"/>
      <c r="B917" s="302"/>
      <c r="C917" s="301"/>
      <c r="D917" s="301"/>
      <c r="E917" s="301"/>
      <c r="F917" s="301"/>
      <c r="G917" s="301"/>
      <c r="H917" s="215"/>
      <c r="I917" s="499" t="s">
        <v>3242</v>
      </c>
      <c r="J917" s="498"/>
      <c r="K917" s="498"/>
      <c r="L917" s="498"/>
      <c r="M917" s="498"/>
      <c r="N917" s="498"/>
      <c r="O917" s="498"/>
      <c r="P917" s="498"/>
      <c r="Q917" s="498"/>
      <c r="R917" s="498"/>
      <c r="S917" s="498"/>
      <c r="T917" s="498"/>
      <c r="U917" s="498"/>
      <c r="V917" s="153"/>
      <c r="W917" s="230"/>
      <c r="X917" s="165" t="str">
        <f ca="1">G508</f>
        <v/>
      </c>
      <c r="Y917" s="194"/>
    </row>
    <row r="918" spans="1:25" ht="21.95" customHeight="1" x14ac:dyDescent="0.2">
      <c r="A918" s="301"/>
      <c r="B918" s="302"/>
      <c r="C918" s="301"/>
      <c r="D918" s="301"/>
      <c r="E918" s="301"/>
      <c r="F918" s="301"/>
      <c r="G918" s="301"/>
      <c r="H918" s="215"/>
      <c r="I918" s="194"/>
      <c r="J918" s="153"/>
      <c r="K918" s="194"/>
      <c r="L918" s="153"/>
      <c r="M918" s="194"/>
      <c r="N918" s="153"/>
      <c r="O918" s="194"/>
      <c r="P918" s="153"/>
      <c r="Q918" s="194"/>
      <c r="R918" s="153"/>
      <c r="S918" s="488" t="str">
        <f ca="1">D508</f>
        <v/>
      </c>
      <c r="T918" s="488"/>
      <c r="U918" s="488"/>
      <c r="V918" s="488"/>
      <c r="W918" s="488"/>
      <c r="X918" s="153"/>
      <c r="Y918" s="194"/>
    </row>
    <row r="919" spans="1:25" ht="21.95" customHeight="1" x14ac:dyDescent="0.2">
      <c r="A919" s="301"/>
      <c r="B919" s="302"/>
      <c r="C919" s="301"/>
      <c r="D919" s="301"/>
      <c r="E919" s="301"/>
      <c r="F919" s="301"/>
      <c r="G919" s="301"/>
      <c r="H919" s="215"/>
      <c r="I919" s="563" t="s">
        <v>3243</v>
      </c>
      <c r="J919" s="614"/>
      <c r="K919" s="614"/>
      <c r="L919" s="614"/>
      <c r="M919" s="614"/>
      <c r="N919" s="614"/>
      <c r="O919" s="614"/>
      <c r="P919" s="614"/>
      <c r="Q919" s="614"/>
      <c r="R919" s="614"/>
      <c r="S919" s="614"/>
      <c r="T919" s="150"/>
      <c r="U919" s="671"/>
      <c r="V919" s="672"/>
      <c r="W919" s="672"/>
      <c r="X919" s="165" t="str">
        <f ca="1">G509</f>
        <v/>
      </c>
      <c r="Y919" s="194"/>
    </row>
    <row r="920" spans="1:25" ht="21.95" customHeight="1" x14ac:dyDescent="0.2">
      <c r="A920" s="301"/>
      <c r="B920" s="302"/>
      <c r="C920" s="301"/>
      <c r="D920" s="301"/>
      <c r="E920" s="301"/>
      <c r="F920" s="301"/>
      <c r="G920" s="301"/>
      <c r="H920" s="215"/>
      <c r="I920" s="614"/>
      <c r="J920" s="614"/>
      <c r="K920" s="614"/>
      <c r="L920" s="614"/>
      <c r="M920" s="614"/>
      <c r="N920" s="614"/>
      <c r="O920" s="614"/>
      <c r="P920" s="614"/>
      <c r="Q920" s="614"/>
      <c r="R920" s="614"/>
      <c r="S920" s="614"/>
      <c r="T920" s="150"/>
      <c r="U920" s="150"/>
      <c r="V920" s="153"/>
      <c r="W920" s="194"/>
      <c r="X920" s="153"/>
      <c r="Y920" s="194"/>
    </row>
    <row r="921" spans="1:25" ht="21.95" customHeight="1" x14ac:dyDescent="0.2">
      <c r="A921" s="301"/>
      <c r="B921" s="302"/>
      <c r="C921" s="301"/>
      <c r="D921" s="301"/>
      <c r="E921" s="301"/>
      <c r="F921" s="301"/>
      <c r="G921" s="301"/>
      <c r="H921" s="215"/>
      <c r="I921" s="573" t="s">
        <v>3699</v>
      </c>
      <c r="J921" s="574"/>
      <c r="K921" s="574"/>
      <c r="L921" s="574"/>
      <c r="M921" s="574"/>
      <c r="N921" s="574"/>
      <c r="O921" s="574"/>
      <c r="P921" s="574"/>
      <c r="Q921" s="574"/>
      <c r="R921" s="574"/>
      <c r="S921" s="574"/>
      <c r="T921" s="574"/>
      <c r="U921" s="574"/>
      <c r="V921" s="574"/>
      <c r="W921" s="574"/>
      <c r="X921" s="153"/>
      <c r="Y921" s="194"/>
    </row>
    <row r="922" spans="1:25" ht="21.95" customHeight="1" x14ac:dyDescent="0.2">
      <c r="A922" s="301"/>
      <c r="B922" s="302"/>
      <c r="C922" s="301"/>
      <c r="D922" s="301"/>
      <c r="E922" s="301"/>
      <c r="F922" s="301"/>
      <c r="G922" s="301"/>
      <c r="H922" s="215"/>
      <c r="I922" s="574"/>
      <c r="J922" s="574"/>
      <c r="K922" s="574"/>
      <c r="L922" s="574"/>
      <c r="M922" s="574"/>
      <c r="N922" s="574"/>
      <c r="O922" s="574"/>
      <c r="P922" s="574"/>
      <c r="Q922" s="574"/>
      <c r="R922" s="574"/>
      <c r="S922" s="574"/>
      <c r="T922" s="574"/>
      <c r="U922" s="574"/>
      <c r="V922" s="574"/>
      <c r="W922" s="574"/>
      <c r="X922" s="153"/>
      <c r="Y922" s="194"/>
    </row>
    <row r="923" spans="1:25" ht="21.95" customHeight="1" x14ac:dyDescent="0.2">
      <c r="A923" s="301"/>
      <c r="B923" s="302"/>
      <c r="C923" s="301"/>
      <c r="D923" s="301"/>
      <c r="E923" s="301"/>
      <c r="F923" s="301"/>
      <c r="G923" s="301"/>
      <c r="H923" s="215"/>
      <c r="I923" s="574"/>
      <c r="J923" s="574"/>
      <c r="K923" s="574"/>
      <c r="L923" s="574"/>
      <c r="M923" s="574"/>
      <c r="N923" s="574"/>
      <c r="O923" s="574"/>
      <c r="P923" s="574"/>
      <c r="Q923" s="574"/>
      <c r="R923" s="574"/>
      <c r="S923" s="574"/>
      <c r="T923" s="574"/>
      <c r="U923" s="574"/>
      <c r="V923" s="574"/>
      <c r="W923" s="574"/>
      <c r="X923" s="153"/>
      <c r="Y923" s="194"/>
    </row>
    <row r="924" spans="1:25" ht="21.95" customHeight="1" x14ac:dyDescent="0.2">
      <c r="A924" s="301"/>
      <c r="B924" s="302"/>
      <c r="C924" s="301"/>
      <c r="D924" s="301"/>
      <c r="E924" s="301"/>
      <c r="F924" s="301"/>
      <c r="G924" s="301"/>
      <c r="H924" s="215"/>
      <c r="I924" s="194"/>
      <c r="J924" s="153"/>
      <c r="K924" s="194"/>
      <c r="L924" s="153"/>
      <c r="M924" s="194"/>
      <c r="N924" s="153"/>
      <c r="O924" s="194"/>
      <c r="P924" s="153"/>
      <c r="Q924" s="194"/>
      <c r="R924" s="153"/>
      <c r="S924" s="194"/>
      <c r="T924" s="153"/>
      <c r="U924" s="194"/>
      <c r="V924" s="153"/>
      <c r="W924" s="194"/>
      <c r="X924" s="153"/>
      <c r="Y924" s="194"/>
    </row>
    <row r="925" spans="1:25" ht="21.95" customHeight="1" thickBot="1" x14ac:dyDescent="0.25">
      <c r="A925" s="301"/>
      <c r="B925" s="302"/>
      <c r="C925" s="301"/>
      <c r="D925" s="301"/>
      <c r="E925" s="301"/>
      <c r="F925" s="301"/>
      <c r="G925" s="301"/>
      <c r="H925" s="215"/>
      <c r="I925" s="424" t="str">
        <f>B467</f>
        <v>In-District Projects (Maximum Points: 5)</v>
      </c>
      <c r="J925" s="269"/>
      <c r="K925" s="269"/>
      <c r="L925" s="269"/>
      <c r="M925" s="269"/>
      <c r="N925" s="269"/>
      <c r="O925" s="269"/>
      <c r="P925" s="269"/>
      <c r="Q925" s="269"/>
      <c r="R925" s="269"/>
      <c r="S925" s="269"/>
      <c r="T925" s="269"/>
      <c r="U925" s="269"/>
      <c r="V925" s="269"/>
      <c r="W925" s="269"/>
      <c r="X925" s="167" t="str">
        <f ca="1">"Status: "&amp;B474</f>
        <v>Status: Not Started</v>
      </c>
      <c r="Y925" s="194"/>
    </row>
    <row r="926" spans="1:25" ht="21.95" customHeight="1" x14ac:dyDescent="0.2">
      <c r="A926" s="301"/>
      <c r="B926" s="302"/>
      <c r="C926" s="301"/>
      <c r="D926" s="301"/>
      <c r="E926" s="301"/>
      <c r="F926" s="301"/>
      <c r="G926" s="301"/>
      <c r="H926" s="215"/>
      <c r="I926" s="194"/>
      <c r="J926" s="153"/>
      <c r="K926" s="194"/>
      <c r="L926" s="153"/>
      <c r="M926" s="194"/>
      <c r="N926" s="153"/>
      <c r="O926" s="194"/>
      <c r="P926" s="153"/>
      <c r="Q926" s="194"/>
      <c r="R926" s="153"/>
      <c r="S926" s="194"/>
      <c r="T926" s="153"/>
      <c r="U926" s="194"/>
      <c r="V926" s="153"/>
      <c r="W926" s="194"/>
      <c r="X926" s="153"/>
      <c r="Y926" s="194"/>
    </row>
    <row r="927" spans="1:25" ht="21.95" customHeight="1" x14ac:dyDescent="0.2">
      <c r="A927" s="301"/>
      <c r="B927" s="302"/>
      <c r="C927" s="301"/>
      <c r="D927" s="301"/>
      <c r="E927" s="301"/>
      <c r="F927" s="301"/>
      <c r="G927" s="301"/>
      <c r="H927" s="369"/>
      <c r="I927" s="366"/>
      <c r="J927" s="140"/>
      <c r="K927" s="140"/>
      <c r="L927" s="140"/>
      <c r="M927" s="194"/>
      <c r="N927" s="153"/>
      <c r="O927" s="194"/>
      <c r="P927" s="153"/>
      <c r="Q927" s="194"/>
      <c r="R927" s="153"/>
      <c r="S927" s="194"/>
      <c r="T927" s="153"/>
      <c r="U927" s="194"/>
      <c r="V927" s="153"/>
      <c r="W927" s="194"/>
      <c r="X927" s="153"/>
      <c r="Y927" s="194"/>
    </row>
    <row r="928" spans="1:25" ht="21.95" customHeight="1" x14ac:dyDescent="0.2">
      <c r="A928" s="301"/>
      <c r="B928" s="302"/>
      <c r="C928" s="301"/>
      <c r="D928" s="301"/>
      <c r="E928" s="301"/>
      <c r="F928" s="301"/>
      <c r="G928" s="301"/>
      <c r="H928" s="194"/>
      <c r="I928" s="166" t="s">
        <v>3574</v>
      </c>
      <c r="J928" s="140"/>
      <c r="K928" s="140"/>
      <c r="L928" s="140"/>
      <c r="M928" s="194"/>
      <c r="N928" s="153"/>
      <c r="O928" s="194"/>
      <c r="P928" s="153"/>
      <c r="Q928" s="194"/>
      <c r="R928" s="153"/>
      <c r="S928" s="194"/>
      <c r="T928" s="153"/>
      <c r="U928" s="194"/>
      <c r="V928" s="153"/>
      <c r="W928" s="365" t="str">
        <f ca="1">IF(B468="","",IF(B468=TRUE,"Yes","No"))</f>
        <v/>
      </c>
      <c r="X928" s="165">
        <f ca="1">G468</f>
        <v>1</v>
      </c>
      <c r="Y928" s="194"/>
    </row>
    <row r="929" spans="1:27" ht="21.95" customHeight="1" x14ac:dyDescent="0.2">
      <c r="A929" s="301"/>
      <c r="B929" s="302"/>
      <c r="C929" s="301"/>
      <c r="D929" s="301"/>
      <c r="E929" s="301"/>
      <c r="F929" s="301"/>
      <c r="G929" s="301"/>
      <c r="H929" s="215"/>
      <c r="I929" s="194"/>
      <c r="J929" s="153"/>
      <c r="K929" s="194"/>
      <c r="L929" s="153"/>
      <c r="M929" s="194"/>
      <c r="N929" s="153"/>
      <c r="O929" s="194"/>
      <c r="P929" s="153"/>
      <c r="Q929" s="194"/>
      <c r="R929" s="153"/>
      <c r="S929" s="194"/>
      <c r="T929" s="153"/>
      <c r="U929" s="194"/>
      <c r="V929" s="153"/>
      <c r="W929" s="194"/>
      <c r="X929" s="153"/>
      <c r="Y929" s="194"/>
    </row>
    <row r="930" spans="1:27" ht="21.95" customHeight="1" thickBot="1" x14ac:dyDescent="0.25">
      <c r="A930" s="301"/>
      <c r="B930" s="302"/>
      <c r="C930" s="301"/>
      <c r="D930" s="301"/>
      <c r="E930" s="301"/>
      <c r="F930" s="301"/>
      <c r="G930" s="301"/>
      <c r="H930" s="215"/>
      <c r="I930" s="424" t="str">
        <f>B568</f>
        <v>Subsidy per Unit (Maximum Points: 12)</v>
      </c>
      <c r="J930" s="269"/>
      <c r="K930" s="269"/>
      <c r="L930" s="269"/>
      <c r="M930" s="269"/>
      <c r="N930" s="269"/>
      <c r="O930" s="269"/>
      <c r="P930" s="269"/>
      <c r="Q930" s="269"/>
      <c r="R930" s="269"/>
      <c r="S930" s="269"/>
      <c r="T930" s="269"/>
      <c r="U930" s="269"/>
      <c r="V930" s="269"/>
      <c r="W930" s="269"/>
      <c r="X930" s="167" t="str">
        <f ca="1">"Status: "&amp;B577</f>
        <v>Status: Not Started</v>
      </c>
      <c r="Y930" s="194"/>
    </row>
    <row r="931" spans="1:27" ht="21.95" customHeight="1" x14ac:dyDescent="0.2">
      <c r="A931" s="301"/>
      <c r="B931" s="302"/>
      <c r="C931" s="301"/>
      <c r="D931" s="301"/>
      <c r="E931" s="301"/>
      <c r="F931" s="301"/>
      <c r="G931" s="301"/>
      <c r="H931" s="215"/>
      <c r="J931" s="428"/>
      <c r="K931" s="428"/>
      <c r="L931" s="428"/>
      <c r="M931" s="428"/>
      <c r="N931" s="428"/>
      <c r="O931" s="428"/>
      <c r="P931" s="428"/>
      <c r="Q931" s="428"/>
      <c r="R931" s="428"/>
      <c r="S931" s="428"/>
      <c r="T931" s="428"/>
      <c r="U931" s="428"/>
      <c r="V931" s="428"/>
      <c r="W931" s="428"/>
      <c r="X931" s="153"/>
      <c r="Y931" s="194"/>
    </row>
    <row r="932" spans="1:27" ht="21.95" customHeight="1" x14ac:dyDescent="0.2">
      <c r="A932" s="301"/>
      <c r="B932" s="302"/>
      <c r="C932" s="301"/>
      <c r="D932" s="301"/>
      <c r="E932" s="301"/>
      <c r="F932" s="301"/>
      <c r="G932" s="301"/>
      <c r="H932" s="215"/>
      <c r="I932" s="455" t="s">
        <v>3841</v>
      </c>
      <c r="J932" s="455"/>
      <c r="K932" s="455"/>
      <c r="L932" s="455"/>
      <c r="M932" s="455"/>
      <c r="N932" s="455"/>
      <c r="O932" s="455"/>
      <c r="P932" s="455"/>
      <c r="Q932" s="455"/>
      <c r="R932" s="455"/>
      <c r="S932" s="455"/>
      <c r="T932" s="455"/>
      <c r="U932" s="455"/>
      <c r="V932" s="455"/>
      <c r="W932" s="455"/>
      <c r="X932" s="153"/>
      <c r="Y932" s="194"/>
    </row>
    <row r="933" spans="1:27" ht="21.95" customHeight="1" x14ac:dyDescent="0.2">
      <c r="A933" s="301"/>
      <c r="B933" s="302"/>
      <c r="C933" s="301"/>
      <c r="D933" s="301"/>
      <c r="E933" s="301"/>
      <c r="F933" s="301"/>
      <c r="G933" s="301"/>
      <c r="H933" s="215"/>
      <c r="I933" s="194"/>
      <c r="J933" s="153"/>
      <c r="K933" s="194"/>
      <c r="L933" s="153"/>
      <c r="M933" s="194"/>
      <c r="N933" s="153"/>
      <c r="O933" s="194"/>
      <c r="P933" s="153"/>
      <c r="Q933" s="194"/>
      <c r="R933" s="153"/>
      <c r="S933" s="194"/>
      <c r="T933" s="153"/>
      <c r="U933" s="194"/>
      <c r="V933" s="153"/>
      <c r="W933" s="194"/>
      <c r="X933" s="153"/>
      <c r="Y933" s="194"/>
    </row>
    <row r="934" spans="1:27" ht="21.95" customHeight="1" x14ac:dyDescent="0.2">
      <c r="A934" s="301"/>
      <c r="B934" s="302"/>
      <c r="C934" s="301"/>
      <c r="D934" s="301"/>
      <c r="E934" s="301"/>
      <c r="F934" s="301"/>
      <c r="G934" s="301"/>
      <c r="H934" s="430"/>
      <c r="I934" s="166" t="s">
        <v>3838</v>
      </c>
      <c r="J934" s="153"/>
      <c r="K934" s="194"/>
      <c r="L934" s="153"/>
      <c r="M934" s="194"/>
      <c r="N934" s="153"/>
      <c r="O934" s="194"/>
      <c r="P934" s="153"/>
      <c r="Q934" s="194"/>
      <c r="R934" s="153"/>
      <c r="S934" s="194"/>
      <c r="T934" s="153"/>
      <c r="V934" s="146"/>
      <c r="W934" s="429" t="str">
        <f ca="1">IF(B569&lt;&gt;"",B569,"")</f>
        <v/>
      </c>
      <c r="X934" s="165">
        <f ca="1">G569</f>
        <v>1</v>
      </c>
      <c r="Y934" s="194"/>
    </row>
    <row r="935" spans="1:27" ht="21.95" customHeight="1" x14ac:dyDescent="0.2">
      <c r="A935" s="301"/>
      <c r="B935" s="302"/>
      <c r="C935" s="301"/>
      <c r="D935" s="301"/>
      <c r="E935" s="301"/>
      <c r="F935" s="301"/>
      <c r="G935" s="301"/>
      <c r="H935" s="430"/>
      <c r="I935" s="166"/>
      <c r="J935" s="153"/>
      <c r="K935" s="194"/>
      <c r="L935" s="153"/>
      <c r="M935" s="194"/>
      <c r="N935" s="153"/>
      <c r="O935" s="194"/>
      <c r="P935" s="153"/>
      <c r="Q935" s="194"/>
      <c r="R935" s="153"/>
      <c r="S935" s="194"/>
      <c r="T935" s="153"/>
      <c r="U935" s="431"/>
      <c r="V935" s="431"/>
      <c r="W935" s="431"/>
      <c r="X935" s="165"/>
      <c r="Y935" s="194"/>
    </row>
    <row r="936" spans="1:27" ht="21.95" customHeight="1" x14ac:dyDescent="0.2">
      <c r="A936" s="301"/>
      <c r="B936" s="302"/>
      <c r="C936" s="301"/>
      <c r="D936" s="301"/>
      <c r="E936" s="301"/>
      <c r="F936" s="301"/>
      <c r="G936" s="301"/>
      <c r="I936" s="166" t="s">
        <v>3839</v>
      </c>
      <c r="U936" s="723" t="str">
        <f ca="1">IF(B570&lt;&gt;"",B570,"")</f>
        <v/>
      </c>
      <c r="V936" s="723"/>
      <c r="W936" s="723"/>
      <c r="X936" s="165">
        <f ca="1">G570</f>
        <v>1</v>
      </c>
    </row>
    <row r="937" spans="1:27" ht="21.95" customHeight="1" x14ac:dyDescent="0.2">
      <c r="A937" s="301"/>
      <c r="B937" s="302"/>
      <c r="C937" s="301"/>
      <c r="D937" s="301"/>
      <c r="E937" s="301"/>
      <c r="F937" s="301"/>
      <c r="G937" s="301"/>
      <c r="I937" s="166"/>
      <c r="U937" s="432"/>
      <c r="V937" s="432"/>
      <c r="W937" s="432"/>
      <c r="X937" s="165"/>
    </row>
    <row r="938" spans="1:27" ht="21.95" customHeight="1" x14ac:dyDescent="0.2">
      <c r="A938" s="301"/>
      <c r="B938" s="302"/>
      <c r="C938" s="301"/>
      <c r="D938" s="301"/>
      <c r="E938" s="301"/>
      <c r="F938" s="301"/>
      <c r="G938" s="301"/>
      <c r="H938" s="138"/>
      <c r="I938" s="166" t="s">
        <v>3840</v>
      </c>
      <c r="J938" s="138"/>
      <c r="K938" s="138"/>
      <c r="L938" s="138"/>
      <c r="M938" s="138"/>
      <c r="N938" s="138"/>
      <c r="O938" s="138"/>
      <c r="P938" s="138"/>
      <c r="Q938" s="138"/>
      <c r="R938" s="138"/>
      <c r="S938" s="138"/>
      <c r="T938" s="138"/>
      <c r="U938" s="723" t="str">
        <f ca="1">IF(B571&lt;&gt;"",B571,"")</f>
        <v/>
      </c>
      <c r="V938" s="723"/>
      <c r="W938" s="723"/>
      <c r="X938" s="165">
        <f ca="1">G571</f>
        <v>1</v>
      </c>
      <c r="Y938" s="138"/>
    </row>
    <row r="939" spans="1:27" ht="21.95" customHeight="1" x14ac:dyDescent="0.2">
      <c r="A939" s="301"/>
      <c r="B939" s="302"/>
      <c r="C939" s="301"/>
      <c r="D939" s="301"/>
      <c r="E939" s="301"/>
      <c r="F939" s="301"/>
      <c r="G939" s="301"/>
      <c r="H939" s="138"/>
      <c r="I939" s="138"/>
      <c r="J939" s="138"/>
      <c r="K939" s="138"/>
      <c r="L939" s="138"/>
      <c r="M939" s="138"/>
      <c r="N939" s="138"/>
      <c r="O939" s="138"/>
      <c r="P939" s="138"/>
      <c r="Q939" s="138"/>
      <c r="R939" s="138"/>
      <c r="S939" s="138"/>
      <c r="T939" s="138"/>
      <c r="U939" s="138"/>
      <c r="V939" s="138"/>
      <c r="W939" s="138"/>
      <c r="X939" s="138"/>
      <c r="Y939" s="138"/>
    </row>
    <row r="940" spans="1:27" ht="21.95" customHeight="1" thickBot="1" x14ac:dyDescent="0.25">
      <c r="A940" s="301"/>
      <c r="B940" s="302"/>
      <c r="C940" s="301"/>
      <c r="D940" s="301"/>
      <c r="E940" s="301"/>
      <c r="F940" s="301"/>
      <c r="G940" s="301"/>
      <c r="H940" s="138"/>
      <c r="I940" s="424" t="str">
        <f>B586</f>
        <v>Score Summary</v>
      </c>
      <c r="J940" s="269"/>
      <c r="K940" s="269"/>
      <c r="L940" s="269"/>
      <c r="M940" s="269"/>
      <c r="N940" s="269"/>
      <c r="O940" s="269"/>
      <c r="P940" s="269"/>
      <c r="Q940" s="269"/>
      <c r="R940" s="269"/>
      <c r="S940" s="269"/>
      <c r="T940" s="269"/>
      <c r="U940" s="269"/>
      <c r="V940" s="269"/>
      <c r="W940" s="269"/>
      <c r="X940" s="167"/>
      <c r="Y940" s="138"/>
    </row>
    <row r="941" spans="1:27" ht="21.95" customHeight="1" x14ac:dyDescent="0.2">
      <c r="A941" s="301"/>
      <c r="B941" s="302"/>
      <c r="C941" s="301"/>
      <c r="D941" s="301"/>
      <c r="E941" s="301"/>
      <c r="F941" s="301"/>
      <c r="G941" s="301"/>
      <c r="H941" s="138"/>
      <c r="I941" s="138"/>
      <c r="J941" s="138"/>
      <c r="K941" s="138"/>
      <c r="L941" s="138"/>
      <c r="M941" s="138"/>
      <c r="N941" s="138"/>
      <c r="O941" s="138"/>
      <c r="P941" s="138"/>
      <c r="Q941" s="138"/>
      <c r="R941" s="138"/>
      <c r="S941" s="138"/>
      <c r="T941" s="138"/>
      <c r="U941" s="138"/>
      <c r="V941" s="138"/>
      <c r="W941" s="138"/>
      <c r="X941" s="138"/>
      <c r="Y941" s="138"/>
    </row>
    <row r="942" spans="1:27" ht="21.95" customHeight="1" x14ac:dyDescent="0.2">
      <c r="A942" s="301"/>
      <c r="B942" s="302"/>
      <c r="C942" s="301"/>
      <c r="D942" s="301"/>
      <c r="E942" s="301"/>
      <c r="F942" s="301"/>
      <c r="G942" s="301"/>
      <c r="H942" s="138"/>
      <c r="I942" s="455" t="s">
        <v>3857</v>
      </c>
      <c r="J942" s="455"/>
      <c r="K942" s="455"/>
      <c r="L942" s="455"/>
      <c r="M942" s="455"/>
      <c r="N942" s="455"/>
      <c r="O942" s="455"/>
      <c r="P942" s="455"/>
      <c r="Q942" s="455"/>
      <c r="R942" s="455"/>
      <c r="S942" s="455"/>
      <c r="T942" s="455"/>
      <c r="U942" s="455"/>
      <c r="V942" s="455"/>
      <c r="W942" s="455"/>
      <c r="X942" s="455"/>
      <c r="Y942" s="138"/>
    </row>
    <row r="943" spans="1:27" ht="21.95" customHeight="1" x14ac:dyDescent="0.25">
      <c r="A943" s="301"/>
      <c r="B943" s="302"/>
      <c r="C943" s="301"/>
      <c r="D943" s="301"/>
      <c r="E943" s="301"/>
      <c r="F943" s="301"/>
      <c r="G943" s="301"/>
      <c r="H943" s="138"/>
      <c r="I943" s="456"/>
      <c r="J943" s="456"/>
      <c r="K943" s="456"/>
      <c r="L943" s="456"/>
      <c r="M943" s="456"/>
      <c r="N943" s="456"/>
      <c r="O943" s="456"/>
      <c r="P943" s="456"/>
      <c r="Q943" s="456"/>
      <c r="R943" s="456"/>
      <c r="S943" s="456"/>
      <c r="T943" s="456"/>
      <c r="U943" s="456"/>
      <c r="V943" s="456"/>
      <c r="W943" s="456"/>
      <c r="X943" s="456"/>
      <c r="Y943" s="138"/>
      <c r="AA943" s="442" t="s">
        <v>3924</v>
      </c>
    </row>
    <row r="944" spans="1:27" ht="26.25" customHeight="1" x14ac:dyDescent="0.2">
      <c r="A944" s="301"/>
      <c r="B944" s="302"/>
      <c r="C944" s="301"/>
      <c r="D944" s="301"/>
      <c r="E944" s="301"/>
      <c r="F944" s="301"/>
      <c r="G944" s="301"/>
      <c r="H944" s="138"/>
      <c r="I944" s="459" t="s">
        <v>3854</v>
      </c>
      <c r="J944" s="460"/>
      <c r="K944" s="460"/>
      <c r="L944" s="460"/>
      <c r="M944" s="460"/>
      <c r="N944" s="460"/>
      <c r="O944" s="460"/>
      <c r="P944" s="460"/>
      <c r="Q944" s="460"/>
      <c r="R944" s="460"/>
      <c r="S944" s="460"/>
      <c r="T944" s="461"/>
      <c r="U944" s="457" t="s">
        <v>3855</v>
      </c>
      <c r="V944" s="458"/>
      <c r="W944" s="457" t="s">
        <v>3856</v>
      </c>
      <c r="X944" s="458"/>
      <c r="Y944" s="138"/>
      <c r="AA944" s="410" t="s">
        <v>3858</v>
      </c>
    </row>
    <row r="945" spans="1:27" ht="21.95" customHeight="1" x14ac:dyDescent="0.2">
      <c r="A945" s="301"/>
      <c r="B945" s="302"/>
      <c r="C945" s="301"/>
      <c r="D945" s="301"/>
      <c r="E945" s="301"/>
      <c r="F945" s="301"/>
      <c r="G945" s="301"/>
      <c r="H945" s="138"/>
      <c r="I945" s="462" t="str">
        <f t="shared" ref="I945:I956" si="73">VLOOKUP("SECTION_"&amp;AA945,A:C,3,FALSE)</f>
        <v>Targeting to Lower-Income Households</v>
      </c>
      <c r="J945" s="463"/>
      <c r="K945" s="463"/>
      <c r="L945" s="463"/>
      <c r="M945" s="463"/>
      <c r="N945" s="463"/>
      <c r="O945" s="463"/>
      <c r="P945" s="463"/>
      <c r="Q945" s="463"/>
      <c r="R945" s="463"/>
      <c r="S945" s="463"/>
      <c r="T945" s="464"/>
      <c r="U945" s="448">
        <f t="shared" ref="U945:U956" si="74">VLOOKUP("SECTION_"&amp;AA945&amp;"_SCORE_MAX_POINTS",$A:$B,2,FALSE)</f>
        <v>20</v>
      </c>
      <c r="V945" s="449"/>
      <c r="W945" s="450">
        <f t="shared" ref="W945:W956" ca="1" si="75">VLOOKUP("SECTION_"&amp;AA945&amp;"_SCORE_CURRENT",$A:$B,2,FALSE)</f>
        <v>0</v>
      </c>
      <c r="X945" s="451"/>
      <c r="Y945" s="138"/>
      <c r="AA945" s="410">
        <v>11</v>
      </c>
    </row>
    <row r="946" spans="1:27" ht="21.75" customHeight="1" x14ac:dyDescent="0.2">
      <c r="A946" s="301"/>
      <c r="B946" s="302"/>
      <c r="C946" s="301"/>
      <c r="D946" s="301"/>
      <c r="E946" s="301"/>
      <c r="F946" s="301"/>
      <c r="G946" s="301"/>
      <c r="H946" s="138"/>
      <c r="I946" s="462" t="str">
        <f t="shared" si="73"/>
        <v>Use of Donated or Conveyed Government-owned or Other Properties</v>
      </c>
      <c r="J946" s="463"/>
      <c r="K946" s="463"/>
      <c r="L946" s="463"/>
      <c r="M946" s="463"/>
      <c r="N946" s="463"/>
      <c r="O946" s="463"/>
      <c r="P946" s="463"/>
      <c r="Q946" s="463">
        <v>444</v>
      </c>
      <c r="R946" s="463"/>
      <c r="S946" s="463"/>
      <c r="T946" s="464"/>
      <c r="U946" s="448">
        <f t="shared" si="74"/>
        <v>5</v>
      </c>
      <c r="V946" s="449"/>
      <c r="W946" s="450">
        <f t="shared" ca="1" si="75"/>
        <v>0</v>
      </c>
      <c r="X946" s="451"/>
      <c r="Y946" s="138"/>
      <c r="AA946" s="410">
        <v>12</v>
      </c>
    </row>
    <row r="947" spans="1:27" ht="21.75" customHeight="1" x14ac:dyDescent="0.2">
      <c r="A947" s="301"/>
      <c r="B947" s="302"/>
      <c r="C947" s="301"/>
      <c r="D947" s="301"/>
      <c r="E947" s="301"/>
      <c r="F947" s="301"/>
      <c r="G947" s="301"/>
      <c r="H947" s="138"/>
      <c r="I947" s="462" t="str">
        <f t="shared" si="73"/>
        <v>Sponsorship by a Not-For-Profit Organization or Government Entity</v>
      </c>
      <c r="J947" s="463"/>
      <c r="K947" s="463"/>
      <c r="L947" s="463"/>
      <c r="M947" s="463"/>
      <c r="N947" s="463"/>
      <c r="O947" s="463"/>
      <c r="P947" s="463"/>
      <c r="Q947" s="463">
        <v>444</v>
      </c>
      <c r="R947" s="463"/>
      <c r="S947" s="463"/>
      <c r="T947" s="464"/>
      <c r="U947" s="448">
        <f t="shared" si="74"/>
        <v>7</v>
      </c>
      <c r="V947" s="449"/>
      <c r="W947" s="450">
        <f t="shared" ca="1" si="75"/>
        <v>0</v>
      </c>
      <c r="X947" s="451"/>
      <c r="Y947" s="138"/>
      <c r="AA947" s="410">
        <v>13</v>
      </c>
    </row>
    <row r="948" spans="1:27" ht="21.95" customHeight="1" x14ac:dyDescent="0.2">
      <c r="A948" s="301"/>
      <c r="B948" s="302"/>
      <c r="C948" s="301"/>
      <c r="D948" s="301"/>
      <c r="E948" s="301"/>
      <c r="F948" s="301"/>
      <c r="G948" s="301"/>
      <c r="H948" s="138"/>
      <c r="I948" s="462" t="str">
        <f t="shared" si="73"/>
        <v>Housing for Homeless Households</v>
      </c>
      <c r="J948" s="463"/>
      <c r="K948" s="463"/>
      <c r="L948" s="463"/>
      <c r="M948" s="463"/>
      <c r="N948" s="463"/>
      <c r="O948" s="463"/>
      <c r="P948" s="463"/>
      <c r="Q948" s="463">
        <v>444</v>
      </c>
      <c r="R948" s="463"/>
      <c r="S948" s="463"/>
      <c r="T948" s="464"/>
      <c r="U948" s="448">
        <f t="shared" si="74"/>
        <v>6</v>
      </c>
      <c r="V948" s="449"/>
      <c r="W948" s="450">
        <f t="shared" ca="1" si="75"/>
        <v>0</v>
      </c>
      <c r="X948" s="451"/>
      <c r="Y948" s="138"/>
      <c r="AA948" s="410">
        <v>14</v>
      </c>
    </row>
    <row r="949" spans="1:27" ht="21.95" customHeight="1" x14ac:dyDescent="0.2">
      <c r="A949" s="301"/>
      <c r="B949" s="302"/>
      <c r="C949" s="301"/>
      <c r="D949" s="301"/>
      <c r="E949" s="301"/>
      <c r="F949" s="301"/>
      <c r="G949" s="301"/>
      <c r="H949" s="138"/>
      <c r="I949" s="462" t="str">
        <f t="shared" si="73"/>
        <v>Housing for Special Needs Populations</v>
      </c>
      <c r="J949" s="463"/>
      <c r="K949" s="463"/>
      <c r="L949" s="463"/>
      <c r="M949" s="463"/>
      <c r="N949" s="463"/>
      <c r="O949" s="463"/>
      <c r="P949" s="463"/>
      <c r="Q949" s="463">
        <v>444</v>
      </c>
      <c r="R949" s="463"/>
      <c r="S949" s="463"/>
      <c r="T949" s="464"/>
      <c r="U949" s="448">
        <f t="shared" si="74"/>
        <v>5</v>
      </c>
      <c r="V949" s="449"/>
      <c r="W949" s="450">
        <f t="shared" ca="1" si="75"/>
        <v>0</v>
      </c>
      <c r="X949" s="451"/>
      <c r="Y949" s="138"/>
      <c r="AA949" s="410">
        <v>16</v>
      </c>
    </row>
    <row r="950" spans="1:27" ht="21.95" customHeight="1" x14ac:dyDescent="0.2">
      <c r="A950" s="301"/>
      <c r="B950" s="302"/>
      <c r="C950" s="301"/>
      <c r="D950" s="301"/>
      <c r="E950" s="301"/>
      <c r="F950" s="301"/>
      <c r="G950" s="301"/>
      <c r="H950" s="138"/>
      <c r="I950" s="462" t="str">
        <f t="shared" si="73"/>
        <v>Housing for Households Requiring Large Units</v>
      </c>
      <c r="J950" s="463"/>
      <c r="K950" s="463"/>
      <c r="L950" s="463"/>
      <c r="M950" s="463"/>
      <c r="N950" s="463"/>
      <c r="O950" s="463"/>
      <c r="P950" s="463"/>
      <c r="Q950" s="463">
        <v>444</v>
      </c>
      <c r="R950" s="463"/>
      <c r="S950" s="463"/>
      <c r="T950" s="464"/>
      <c r="U950" s="448">
        <f t="shared" si="74"/>
        <v>3</v>
      </c>
      <c r="V950" s="449"/>
      <c r="W950" s="450">
        <f t="shared" ca="1" si="75"/>
        <v>0</v>
      </c>
      <c r="X950" s="451"/>
      <c r="Y950" s="138"/>
      <c r="AA950" s="410">
        <v>21</v>
      </c>
    </row>
    <row r="951" spans="1:27" ht="21.95" customHeight="1" x14ac:dyDescent="0.2">
      <c r="A951" s="301"/>
      <c r="B951" s="302"/>
      <c r="C951" s="301"/>
      <c r="D951" s="301"/>
      <c r="E951" s="301"/>
      <c r="F951" s="301"/>
      <c r="G951" s="301"/>
      <c r="H951" s="138"/>
      <c r="I951" s="462" t="str">
        <f t="shared" si="73"/>
        <v>Housing in Rural Areas</v>
      </c>
      <c r="J951" s="463"/>
      <c r="K951" s="463"/>
      <c r="L951" s="463"/>
      <c r="M951" s="463"/>
      <c r="N951" s="463"/>
      <c r="O951" s="463"/>
      <c r="P951" s="463"/>
      <c r="Q951" s="463">
        <v>444</v>
      </c>
      <c r="R951" s="463"/>
      <c r="S951" s="463"/>
      <c r="T951" s="464"/>
      <c r="U951" s="448">
        <f t="shared" si="74"/>
        <v>5</v>
      </c>
      <c r="V951" s="449"/>
      <c r="W951" s="450">
        <f t="shared" ca="1" si="75"/>
        <v>0</v>
      </c>
      <c r="X951" s="451"/>
      <c r="Y951" s="138"/>
      <c r="AA951" s="410">
        <v>17</v>
      </c>
    </row>
    <row r="952" spans="1:27" ht="21.95" customHeight="1" x14ac:dyDescent="0.2">
      <c r="A952" s="301"/>
      <c r="B952" s="302"/>
      <c r="C952" s="301"/>
      <c r="D952" s="301"/>
      <c r="E952" s="301"/>
      <c r="F952" s="301"/>
      <c r="G952" s="301"/>
      <c r="H952" s="138"/>
      <c r="I952" s="462" t="str">
        <f t="shared" si="73"/>
        <v>Promotion of Empowerment</v>
      </c>
      <c r="J952" s="463"/>
      <c r="K952" s="463"/>
      <c r="L952" s="463"/>
      <c r="M952" s="463"/>
      <c r="N952" s="463"/>
      <c r="O952" s="463"/>
      <c r="P952" s="463"/>
      <c r="Q952" s="463">
        <v>444</v>
      </c>
      <c r="R952" s="463"/>
      <c r="S952" s="463"/>
      <c r="T952" s="464"/>
      <c r="U952" s="448">
        <f t="shared" si="74"/>
        <v>5</v>
      </c>
      <c r="V952" s="449"/>
      <c r="W952" s="450">
        <f t="shared" ca="1" si="75"/>
        <v>0</v>
      </c>
      <c r="X952" s="451"/>
      <c r="Y952" s="138"/>
      <c r="AA952" s="410">
        <v>15</v>
      </c>
    </row>
    <row r="953" spans="1:27" ht="21.95" customHeight="1" x14ac:dyDescent="0.2">
      <c r="A953" s="301"/>
      <c r="B953" s="302"/>
      <c r="C953" s="301"/>
      <c r="D953" s="301"/>
      <c r="E953" s="301"/>
      <c r="F953" s="301"/>
      <c r="G953" s="301"/>
      <c r="H953" s="138"/>
      <c r="I953" s="462" t="str">
        <f t="shared" si="73"/>
        <v>Community Stability, Including Affordable Housing Preservation</v>
      </c>
      <c r="J953" s="463"/>
      <c r="K953" s="463"/>
      <c r="L953" s="463"/>
      <c r="M953" s="463"/>
      <c r="N953" s="463"/>
      <c r="O953" s="463"/>
      <c r="P953" s="463"/>
      <c r="Q953" s="463">
        <v>444</v>
      </c>
      <c r="R953" s="463"/>
      <c r="S953" s="463"/>
      <c r="T953" s="464"/>
      <c r="U953" s="448">
        <f t="shared" si="74"/>
        <v>14</v>
      </c>
      <c r="V953" s="449"/>
      <c r="W953" s="450">
        <f t="shared" ca="1" si="75"/>
        <v>0</v>
      </c>
      <c r="X953" s="451"/>
      <c r="Y953" s="138"/>
      <c r="AA953" s="410">
        <v>20</v>
      </c>
    </row>
    <row r="954" spans="1:27" ht="21.95" customHeight="1" x14ac:dyDescent="0.2">
      <c r="A954" s="301"/>
      <c r="B954" s="302"/>
      <c r="C954" s="301"/>
      <c r="D954" s="301"/>
      <c r="E954" s="301"/>
      <c r="F954" s="301"/>
      <c r="G954" s="301"/>
      <c r="H954" s="138"/>
      <c r="I954" s="462" t="str">
        <f t="shared" si="73"/>
        <v>Project Readiness</v>
      </c>
      <c r="J954" s="463"/>
      <c r="K954" s="463"/>
      <c r="L954" s="463"/>
      <c r="M954" s="463"/>
      <c r="N954" s="463"/>
      <c r="O954" s="463"/>
      <c r="P954" s="463"/>
      <c r="Q954" s="463">
        <v>444</v>
      </c>
      <c r="R954" s="463"/>
      <c r="S954" s="463"/>
      <c r="T954" s="464"/>
      <c r="U954" s="448">
        <f t="shared" si="74"/>
        <v>7</v>
      </c>
      <c r="V954" s="449"/>
      <c r="W954" s="450">
        <f t="shared" ca="1" si="75"/>
        <v>0</v>
      </c>
      <c r="X954" s="451"/>
      <c r="Y954" s="138"/>
      <c r="AA954" s="410">
        <v>19</v>
      </c>
    </row>
    <row r="955" spans="1:27" ht="21.95" customHeight="1" x14ac:dyDescent="0.2">
      <c r="A955" s="301"/>
      <c r="B955" s="302"/>
      <c r="C955" s="301"/>
      <c r="D955" s="301"/>
      <c r="E955" s="301"/>
      <c r="F955" s="301"/>
      <c r="G955" s="301"/>
      <c r="H955" s="138"/>
      <c r="I955" s="462" t="str">
        <f t="shared" si="73"/>
        <v>In-District Projects</v>
      </c>
      <c r="J955" s="463"/>
      <c r="K955" s="463"/>
      <c r="L955" s="463"/>
      <c r="M955" s="463"/>
      <c r="N955" s="463"/>
      <c r="O955" s="463"/>
      <c r="P955" s="463"/>
      <c r="Q955" s="463">
        <v>444</v>
      </c>
      <c r="R955" s="463"/>
      <c r="S955" s="463"/>
      <c r="T955" s="464"/>
      <c r="U955" s="448">
        <f t="shared" si="74"/>
        <v>5</v>
      </c>
      <c r="V955" s="449"/>
      <c r="W955" s="450">
        <f t="shared" ca="1" si="75"/>
        <v>0</v>
      </c>
      <c r="X955" s="451"/>
      <c r="Y955" s="138"/>
      <c r="AA955" s="410">
        <v>18</v>
      </c>
    </row>
    <row r="956" spans="1:27" ht="21.95" customHeight="1" x14ac:dyDescent="0.2">
      <c r="A956" s="301"/>
      <c r="B956" s="302"/>
      <c r="C956" s="301"/>
      <c r="D956" s="301"/>
      <c r="E956" s="301"/>
      <c r="F956" s="301"/>
      <c r="G956" s="301"/>
      <c r="H956" s="138"/>
      <c r="I956" s="465" t="str">
        <f t="shared" si="73"/>
        <v>Subsidy per Unit</v>
      </c>
      <c r="J956" s="465"/>
      <c r="K956" s="465"/>
      <c r="L956" s="465"/>
      <c r="M956" s="465"/>
      <c r="N956" s="465"/>
      <c r="O956" s="465"/>
      <c r="P956" s="465"/>
      <c r="Q956" s="465">
        <v>444</v>
      </c>
      <c r="R956" s="465"/>
      <c r="S956" s="465"/>
      <c r="T956" s="465"/>
      <c r="U956" s="448">
        <f t="shared" si="74"/>
        <v>12</v>
      </c>
      <c r="V956" s="449"/>
      <c r="W956" s="450">
        <f t="shared" ca="1" si="75"/>
        <v>0</v>
      </c>
      <c r="X956" s="451"/>
      <c r="Y956" s="138"/>
      <c r="AA956" s="410">
        <v>22</v>
      </c>
    </row>
    <row r="957" spans="1:27" ht="21.95" customHeight="1" x14ac:dyDescent="0.2">
      <c r="A957" s="301"/>
      <c r="B957" s="302"/>
      <c r="C957" s="301"/>
      <c r="D957" s="301"/>
      <c r="E957" s="301"/>
      <c r="F957" s="301"/>
      <c r="G957" s="301"/>
      <c r="H957" s="438"/>
      <c r="I957" s="138"/>
      <c r="J957" s="138"/>
      <c r="K957" s="138"/>
      <c r="L957" s="138"/>
      <c r="M957" s="138"/>
      <c r="N957" s="138"/>
      <c r="O957" s="138"/>
      <c r="P957" s="138"/>
      <c r="Q957" s="138"/>
      <c r="R957" s="138"/>
      <c r="S957" s="138"/>
      <c r="T957" s="435"/>
      <c r="U957" s="436"/>
      <c r="V957" s="437" t="s">
        <v>3859</v>
      </c>
      <c r="W957" s="452">
        <f ca="1">SUM(W945:X956)</f>
        <v>0</v>
      </c>
      <c r="X957" s="452"/>
      <c r="Y957" s="138"/>
      <c r="AA957" s="410"/>
    </row>
    <row r="958" spans="1:27" ht="21.95" customHeight="1" x14ac:dyDescent="0.2">
      <c r="A958" s="301"/>
      <c r="B958" s="302"/>
      <c r="C958" s="301"/>
      <c r="D958" s="301"/>
      <c r="E958" s="301"/>
      <c r="F958" s="301"/>
      <c r="G958" s="301"/>
      <c r="H958" s="138"/>
      <c r="I958" s="138"/>
      <c r="J958" s="138"/>
      <c r="K958" s="138"/>
      <c r="L958" s="138"/>
      <c r="M958" s="138"/>
      <c r="N958" s="138"/>
      <c r="O958" s="138"/>
      <c r="P958" s="138"/>
      <c r="Q958" s="138"/>
      <c r="R958" s="138"/>
      <c r="S958" s="138"/>
      <c r="T958" s="138"/>
      <c r="U958" s="138"/>
      <c r="V958" s="138"/>
      <c r="W958" s="138"/>
      <c r="X958" s="138"/>
      <c r="Y958" s="138"/>
    </row>
    <row r="959" spans="1:27" ht="21.95" customHeight="1" x14ac:dyDescent="0.2">
      <c r="A959" s="301"/>
      <c r="B959" s="302"/>
      <c r="C959" s="301"/>
      <c r="D959" s="301"/>
      <c r="E959" s="301"/>
      <c r="F959" s="301"/>
      <c r="G959" s="301"/>
      <c r="H959" s="138"/>
      <c r="I959" s="138"/>
      <c r="J959" s="138"/>
      <c r="K959" s="138"/>
      <c r="L959" s="138"/>
      <c r="M959" s="138"/>
      <c r="N959" s="138"/>
      <c r="O959" s="138"/>
      <c r="P959" s="138"/>
      <c r="Q959" s="138"/>
      <c r="R959" s="138"/>
      <c r="S959" s="138"/>
      <c r="T959" s="138"/>
      <c r="U959" s="138"/>
      <c r="V959" s="138"/>
      <c r="W959" s="138"/>
      <c r="X959" s="138"/>
      <c r="Y959" s="138"/>
    </row>
    <row r="960" spans="1:27" hidden="1" x14ac:dyDescent="0.2">
      <c r="A960" s="301"/>
      <c r="B960" s="302"/>
      <c r="C960" s="301"/>
      <c r="D960" s="301"/>
      <c r="E960" s="301"/>
      <c r="F960" s="301"/>
      <c r="G960" s="301"/>
    </row>
    <row r="961" spans="1:7" hidden="1" x14ac:dyDescent="0.2">
      <c r="A961" s="301"/>
      <c r="B961" s="302"/>
      <c r="C961" s="301"/>
      <c r="D961" s="301"/>
      <c r="E961" s="301"/>
      <c r="F961" s="301"/>
      <c r="G961" s="301"/>
    </row>
    <row r="962" spans="1:7" hidden="1" x14ac:dyDescent="0.2">
      <c r="A962" s="301"/>
      <c r="B962" s="302"/>
      <c r="C962" s="301"/>
      <c r="D962" s="301"/>
      <c r="E962" s="301"/>
      <c r="F962" s="301"/>
      <c r="G962" s="301"/>
    </row>
    <row r="963" spans="1:7" hidden="1" x14ac:dyDescent="0.2">
      <c r="A963" s="301"/>
      <c r="B963" s="302"/>
      <c r="C963" s="301"/>
      <c r="D963" s="301"/>
      <c r="E963" s="301"/>
      <c r="F963" s="301"/>
      <c r="G963" s="301"/>
    </row>
    <row r="964" spans="1:7" hidden="1" x14ac:dyDescent="0.2">
      <c r="A964" s="301"/>
      <c r="B964" s="302"/>
      <c r="C964" s="301"/>
      <c r="D964" s="301"/>
      <c r="E964" s="301"/>
      <c r="F964" s="301"/>
      <c r="G964" s="301"/>
    </row>
    <row r="965" spans="1:7" hidden="1" x14ac:dyDescent="0.2">
      <c r="A965" s="301"/>
      <c r="B965" s="302"/>
      <c r="C965" s="301"/>
      <c r="D965" s="301"/>
      <c r="E965" s="301"/>
      <c r="F965" s="301"/>
      <c r="G965" s="301"/>
    </row>
    <row r="966" spans="1:7" hidden="1" x14ac:dyDescent="0.2">
      <c r="A966" s="301"/>
      <c r="B966" s="302"/>
      <c r="C966" s="301"/>
      <c r="D966" s="301"/>
      <c r="E966" s="301"/>
      <c r="F966" s="301"/>
      <c r="G966" s="301"/>
    </row>
    <row r="967" spans="1:7" hidden="1" x14ac:dyDescent="0.2">
      <c r="A967" s="301"/>
      <c r="B967" s="302"/>
      <c r="C967" s="301"/>
      <c r="D967" s="301"/>
      <c r="E967" s="301"/>
      <c r="F967" s="301"/>
      <c r="G967" s="301"/>
    </row>
    <row r="968" spans="1:7" hidden="1" x14ac:dyDescent="0.2">
      <c r="A968" s="301"/>
      <c r="B968" s="302"/>
      <c r="C968" s="301"/>
      <c r="D968" s="301"/>
      <c r="E968" s="301"/>
      <c r="F968" s="301"/>
      <c r="G968" s="301"/>
    </row>
    <row r="969" spans="1:7" hidden="1" x14ac:dyDescent="0.2">
      <c r="A969" s="301"/>
      <c r="B969" s="302"/>
      <c r="C969" s="301"/>
      <c r="D969" s="301"/>
      <c r="E969" s="301"/>
      <c r="F969" s="301"/>
      <c r="G969" s="301"/>
    </row>
    <row r="970" spans="1:7" hidden="1" x14ac:dyDescent="0.2">
      <c r="A970" s="301"/>
      <c r="B970" s="302"/>
      <c r="C970" s="301"/>
      <c r="D970" s="301"/>
      <c r="E970" s="301"/>
      <c r="F970" s="301"/>
      <c r="G970" s="301"/>
    </row>
    <row r="971" spans="1:7" hidden="1" x14ac:dyDescent="0.2">
      <c r="A971" s="301"/>
      <c r="B971" s="302"/>
      <c r="C971" s="301"/>
      <c r="D971" s="301"/>
      <c r="E971" s="301"/>
      <c r="F971" s="301"/>
      <c r="G971" s="301"/>
    </row>
    <row r="972" spans="1:7" hidden="1" x14ac:dyDescent="0.2">
      <c r="A972" s="301"/>
      <c r="B972" s="302"/>
      <c r="C972" s="301"/>
      <c r="D972" s="301"/>
      <c r="E972" s="301"/>
      <c r="F972" s="301"/>
      <c r="G972" s="301"/>
    </row>
    <row r="973" spans="1:7" hidden="1" x14ac:dyDescent="0.2">
      <c r="A973" s="301"/>
      <c r="B973" s="302"/>
      <c r="C973" s="301"/>
      <c r="D973" s="301"/>
      <c r="E973" s="301"/>
      <c r="F973" s="301"/>
      <c r="G973" s="301"/>
    </row>
    <row r="974" spans="1:7" hidden="1" x14ac:dyDescent="0.2">
      <c r="A974" s="301"/>
      <c r="B974" s="302"/>
      <c r="C974" s="301"/>
      <c r="D974" s="301"/>
      <c r="E974" s="301"/>
      <c r="F974" s="301"/>
      <c r="G974" s="301"/>
    </row>
    <row r="975" spans="1:7" hidden="1" x14ac:dyDescent="0.2">
      <c r="A975" s="301"/>
      <c r="B975" s="302"/>
      <c r="C975" s="301"/>
      <c r="D975" s="301"/>
      <c r="E975" s="301"/>
      <c r="F975" s="301"/>
      <c r="G975" s="301"/>
    </row>
    <row r="976" spans="1:7" hidden="1" x14ac:dyDescent="0.2">
      <c r="A976" s="301"/>
      <c r="B976" s="302"/>
      <c r="C976" s="301"/>
      <c r="D976" s="301"/>
      <c r="E976" s="301"/>
      <c r="F976" s="301"/>
      <c r="G976" s="301"/>
    </row>
    <row r="977" spans="1:7" hidden="1" x14ac:dyDescent="0.2">
      <c r="A977" s="301"/>
      <c r="B977" s="302"/>
      <c r="C977" s="301"/>
      <c r="D977" s="301"/>
      <c r="E977" s="301"/>
      <c r="F977" s="301"/>
      <c r="G977" s="301"/>
    </row>
    <row r="978" spans="1:7" hidden="1" x14ac:dyDescent="0.2">
      <c r="A978" s="301"/>
      <c r="B978" s="302"/>
      <c r="C978" s="301"/>
      <c r="D978" s="301"/>
      <c r="E978" s="301"/>
      <c r="F978" s="301"/>
      <c r="G978" s="301"/>
    </row>
  </sheetData>
  <sheetProtection algorithmName="SHA-512" hashValue="7QwFtcirkahuVkJ9QMB6lfcIElYXJsy0KMKibf21XbbgRQP1LPOpA72rVIUDHcBlEZXqtOAtVtNFuwCRoqvFfw==" saltValue="7vmFJJZ7OIDx5YSzZ687zg==" spinCount="100000" sheet="1" objects="1" scenarios="1" selectLockedCells="1"/>
  <dataConsolidate/>
  <mergeCells count="856">
    <mergeCell ref="Q24:U24"/>
    <mergeCell ref="I932:W932"/>
    <mergeCell ref="U936:W936"/>
    <mergeCell ref="U938:W938"/>
    <mergeCell ref="I304:W311"/>
    <mergeCell ref="I784:W786"/>
    <mergeCell ref="I810:W812"/>
    <mergeCell ref="Q888:W889"/>
    <mergeCell ref="U250:W250"/>
    <mergeCell ref="U251:W251"/>
    <mergeCell ref="Q252:W252"/>
    <mergeCell ref="I743:W744"/>
    <mergeCell ref="I740:W741"/>
    <mergeCell ref="I745:W745"/>
    <mergeCell ref="I322:W322"/>
    <mergeCell ref="I467:J467"/>
    <mergeCell ref="K467:L467"/>
    <mergeCell ref="M467:N467"/>
    <mergeCell ref="O467:P467"/>
    <mergeCell ref="Q467:R467"/>
    <mergeCell ref="S467:T467"/>
    <mergeCell ref="U467:W467"/>
    <mergeCell ref="I468:J468"/>
    <mergeCell ref="K468:L468"/>
    <mergeCell ref="M468:N468"/>
    <mergeCell ref="O468:P468"/>
    <mergeCell ref="Q468:R468"/>
    <mergeCell ref="I300:W301"/>
    <mergeCell ref="I299:W299"/>
    <mergeCell ref="S468:T468"/>
    <mergeCell ref="U468:W468"/>
    <mergeCell ref="I465:J465"/>
    <mergeCell ref="K465:L465"/>
    <mergeCell ref="M465:N465"/>
    <mergeCell ref="O465:P465"/>
    <mergeCell ref="Q465:R465"/>
    <mergeCell ref="S465:T465"/>
    <mergeCell ref="U465:W465"/>
    <mergeCell ref="I466:J466"/>
    <mergeCell ref="K466:L466"/>
    <mergeCell ref="M466:N466"/>
    <mergeCell ref="O466:P466"/>
    <mergeCell ref="Q466:R466"/>
    <mergeCell ref="S466:T466"/>
    <mergeCell ref="U466:W466"/>
    <mergeCell ref="I463:J463"/>
    <mergeCell ref="K463:L463"/>
    <mergeCell ref="M463:N463"/>
    <mergeCell ref="O463:P463"/>
    <mergeCell ref="Q463:R463"/>
    <mergeCell ref="S463:T463"/>
    <mergeCell ref="U463:W463"/>
    <mergeCell ref="I464:J464"/>
    <mergeCell ref="K464:L464"/>
    <mergeCell ref="M464:N464"/>
    <mergeCell ref="O464:P464"/>
    <mergeCell ref="Q464:R464"/>
    <mergeCell ref="S464:T464"/>
    <mergeCell ref="U464:W464"/>
    <mergeCell ref="I461:J461"/>
    <mergeCell ref="K461:L461"/>
    <mergeCell ref="M461:N461"/>
    <mergeCell ref="O461:P461"/>
    <mergeCell ref="Q461:R461"/>
    <mergeCell ref="S461:T461"/>
    <mergeCell ref="U461:W461"/>
    <mergeCell ref="I462:J462"/>
    <mergeCell ref="K462:L462"/>
    <mergeCell ref="M462:N462"/>
    <mergeCell ref="O462:P462"/>
    <mergeCell ref="Q462:R462"/>
    <mergeCell ref="S462:T462"/>
    <mergeCell ref="U462:W462"/>
    <mergeCell ref="I459:J459"/>
    <mergeCell ref="K459:L459"/>
    <mergeCell ref="M459:N459"/>
    <mergeCell ref="O459:P459"/>
    <mergeCell ref="Q459:R459"/>
    <mergeCell ref="S459:T459"/>
    <mergeCell ref="U459:W459"/>
    <mergeCell ref="I460:J460"/>
    <mergeCell ref="K460:L460"/>
    <mergeCell ref="M460:N460"/>
    <mergeCell ref="O460:P460"/>
    <mergeCell ref="Q460:R460"/>
    <mergeCell ref="S460:T460"/>
    <mergeCell ref="U460:W460"/>
    <mergeCell ref="I456:J456"/>
    <mergeCell ref="K456:L456"/>
    <mergeCell ref="M456:N456"/>
    <mergeCell ref="O456:P456"/>
    <mergeCell ref="Q456:R456"/>
    <mergeCell ref="S456:T456"/>
    <mergeCell ref="U456:W456"/>
    <mergeCell ref="I458:J458"/>
    <mergeCell ref="K458:L458"/>
    <mergeCell ref="M458:N458"/>
    <mergeCell ref="O458:P458"/>
    <mergeCell ref="Q458:R458"/>
    <mergeCell ref="S458:T458"/>
    <mergeCell ref="U458:W458"/>
    <mergeCell ref="I454:J454"/>
    <mergeCell ref="K454:L454"/>
    <mergeCell ref="M454:N454"/>
    <mergeCell ref="O454:P454"/>
    <mergeCell ref="Q454:R454"/>
    <mergeCell ref="S454:T454"/>
    <mergeCell ref="U454:W454"/>
    <mergeCell ref="I455:J455"/>
    <mergeCell ref="K455:L455"/>
    <mergeCell ref="M455:N455"/>
    <mergeCell ref="O455:P455"/>
    <mergeCell ref="Q455:R455"/>
    <mergeCell ref="S455:T455"/>
    <mergeCell ref="U455:W455"/>
    <mergeCell ref="I452:J452"/>
    <mergeCell ref="K452:L452"/>
    <mergeCell ref="M452:N452"/>
    <mergeCell ref="O452:P452"/>
    <mergeCell ref="Q452:R452"/>
    <mergeCell ref="S452:T452"/>
    <mergeCell ref="U452:W452"/>
    <mergeCell ref="I453:J453"/>
    <mergeCell ref="K453:L453"/>
    <mergeCell ref="M453:N453"/>
    <mergeCell ref="O453:P453"/>
    <mergeCell ref="Q453:R453"/>
    <mergeCell ref="S453:T453"/>
    <mergeCell ref="U453:W453"/>
    <mergeCell ref="I450:J450"/>
    <mergeCell ref="K450:L450"/>
    <mergeCell ref="M450:N450"/>
    <mergeCell ref="O450:P450"/>
    <mergeCell ref="Q450:R450"/>
    <mergeCell ref="S450:T450"/>
    <mergeCell ref="U450:W450"/>
    <mergeCell ref="I451:J451"/>
    <mergeCell ref="K451:L451"/>
    <mergeCell ref="M451:N451"/>
    <mergeCell ref="O451:P451"/>
    <mergeCell ref="Q451:R451"/>
    <mergeCell ref="S451:T451"/>
    <mergeCell ref="U451:W451"/>
    <mergeCell ref="I448:J448"/>
    <mergeCell ref="K448:L448"/>
    <mergeCell ref="M448:N448"/>
    <mergeCell ref="O448:P448"/>
    <mergeCell ref="Q448:R448"/>
    <mergeCell ref="S448:T448"/>
    <mergeCell ref="U448:W448"/>
    <mergeCell ref="I449:J449"/>
    <mergeCell ref="K449:L449"/>
    <mergeCell ref="M449:N449"/>
    <mergeCell ref="O449:P449"/>
    <mergeCell ref="Q449:R449"/>
    <mergeCell ref="S449:T449"/>
    <mergeCell ref="U449:W449"/>
    <mergeCell ref="I412:J412"/>
    <mergeCell ref="K412:L412"/>
    <mergeCell ref="M412:N412"/>
    <mergeCell ref="O412:P412"/>
    <mergeCell ref="Q412:R412"/>
    <mergeCell ref="S412:T412"/>
    <mergeCell ref="U412:W412"/>
    <mergeCell ref="I413:J413"/>
    <mergeCell ref="K413:L413"/>
    <mergeCell ref="M413:N413"/>
    <mergeCell ref="O413:P413"/>
    <mergeCell ref="Q413:R413"/>
    <mergeCell ref="S413:T413"/>
    <mergeCell ref="U413:W413"/>
    <mergeCell ref="I410:J410"/>
    <mergeCell ref="K410:L410"/>
    <mergeCell ref="M410:N410"/>
    <mergeCell ref="O410:P410"/>
    <mergeCell ref="Q410:R410"/>
    <mergeCell ref="S410:T410"/>
    <mergeCell ref="U410:W410"/>
    <mergeCell ref="I411:J411"/>
    <mergeCell ref="K411:L411"/>
    <mergeCell ref="M411:N411"/>
    <mergeCell ref="O411:P411"/>
    <mergeCell ref="Q411:R411"/>
    <mergeCell ref="S411:T411"/>
    <mergeCell ref="U411:W411"/>
    <mergeCell ref="I408:J408"/>
    <mergeCell ref="K408:L408"/>
    <mergeCell ref="M408:N408"/>
    <mergeCell ref="O408:P408"/>
    <mergeCell ref="Q408:R408"/>
    <mergeCell ref="S408:T408"/>
    <mergeCell ref="U408:W408"/>
    <mergeCell ref="I409:J409"/>
    <mergeCell ref="K409:L409"/>
    <mergeCell ref="M409:N409"/>
    <mergeCell ref="O409:P409"/>
    <mergeCell ref="Q409:R409"/>
    <mergeCell ref="S409:T409"/>
    <mergeCell ref="U409:W409"/>
    <mergeCell ref="I406:J406"/>
    <mergeCell ref="K406:L406"/>
    <mergeCell ref="M406:N406"/>
    <mergeCell ref="O406:P406"/>
    <mergeCell ref="Q406:R406"/>
    <mergeCell ref="S406:T406"/>
    <mergeCell ref="U406:W406"/>
    <mergeCell ref="I407:J407"/>
    <mergeCell ref="K407:L407"/>
    <mergeCell ref="M407:N407"/>
    <mergeCell ref="O407:P407"/>
    <mergeCell ref="Q407:R407"/>
    <mergeCell ref="S407:T407"/>
    <mergeCell ref="U407:W407"/>
    <mergeCell ref="I404:J404"/>
    <mergeCell ref="K404:L404"/>
    <mergeCell ref="M404:N404"/>
    <mergeCell ref="O404:P404"/>
    <mergeCell ref="Q404:R404"/>
    <mergeCell ref="S404:T404"/>
    <mergeCell ref="U404:W404"/>
    <mergeCell ref="I405:J405"/>
    <mergeCell ref="K405:L405"/>
    <mergeCell ref="M405:N405"/>
    <mergeCell ref="O405:P405"/>
    <mergeCell ref="Q405:R405"/>
    <mergeCell ref="S405:T405"/>
    <mergeCell ref="U405:W405"/>
    <mergeCell ref="I401:J401"/>
    <mergeCell ref="K401:L401"/>
    <mergeCell ref="M401:N401"/>
    <mergeCell ref="O401:P401"/>
    <mergeCell ref="Q401:R401"/>
    <mergeCell ref="S401:T401"/>
    <mergeCell ref="U401:W401"/>
    <mergeCell ref="I403:J403"/>
    <mergeCell ref="K403:L403"/>
    <mergeCell ref="M403:N403"/>
    <mergeCell ref="O403:P403"/>
    <mergeCell ref="Q403:R403"/>
    <mergeCell ref="S403:T403"/>
    <mergeCell ref="U403:W403"/>
    <mergeCell ref="I399:J399"/>
    <mergeCell ref="K399:L399"/>
    <mergeCell ref="M399:N399"/>
    <mergeCell ref="O399:P399"/>
    <mergeCell ref="Q399:R399"/>
    <mergeCell ref="S399:T399"/>
    <mergeCell ref="U399:W399"/>
    <mergeCell ref="I400:J400"/>
    <mergeCell ref="K400:L400"/>
    <mergeCell ref="M400:N400"/>
    <mergeCell ref="O400:P400"/>
    <mergeCell ref="Q400:R400"/>
    <mergeCell ref="S400:T400"/>
    <mergeCell ref="U400:W400"/>
    <mergeCell ref="I397:J397"/>
    <mergeCell ref="K397:L397"/>
    <mergeCell ref="M397:N397"/>
    <mergeCell ref="O397:P397"/>
    <mergeCell ref="Q397:R397"/>
    <mergeCell ref="S397:T397"/>
    <mergeCell ref="U397:W397"/>
    <mergeCell ref="I398:J398"/>
    <mergeCell ref="K398:L398"/>
    <mergeCell ref="M398:N398"/>
    <mergeCell ref="O398:P398"/>
    <mergeCell ref="Q398:R398"/>
    <mergeCell ref="S398:T398"/>
    <mergeCell ref="U398:W398"/>
    <mergeCell ref="I395:J395"/>
    <mergeCell ref="K395:L395"/>
    <mergeCell ref="M395:N395"/>
    <mergeCell ref="O395:P395"/>
    <mergeCell ref="Q395:R395"/>
    <mergeCell ref="S395:T395"/>
    <mergeCell ref="U395:W395"/>
    <mergeCell ref="I396:J396"/>
    <mergeCell ref="K396:L396"/>
    <mergeCell ref="M396:N396"/>
    <mergeCell ref="O396:P396"/>
    <mergeCell ref="Q396:R396"/>
    <mergeCell ref="S396:T396"/>
    <mergeCell ref="U396:W396"/>
    <mergeCell ref="I393:J393"/>
    <mergeCell ref="K393:L393"/>
    <mergeCell ref="M393:N393"/>
    <mergeCell ref="O393:P393"/>
    <mergeCell ref="Q393:R393"/>
    <mergeCell ref="S393:T393"/>
    <mergeCell ref="U393:W393"/>
    <mergeCell ref="I394:J394"/>
    <mergeCell ref="K394:L394"/>
    <mergeCell ref="M394:N394"/>
    <mergeCell ref="O394:P394"/>
    <mergeCell ref="Q394:R394"/>
    <mergeCell ref="S394:T394"/>
    <mergeCell ref="U394:W394"/>
    <mergeCell ref="I391:J391"/>
    <mergeCell ref="K391:L391"/>
    <mergeCell ref="M391:N391"/>
    <mergeCell ref="O391:P391"/>
    <mergeCell ref="Q391:R391"/>
    <mergeCell ref="S391:T391"/>
    <mergeCell ref="U391:W391"/>
    <mergeCell ref="I392:J392"/>
    <mergeCell ref="K392:L392"/>
    <mergeCell ref="M392:N392"/>
    <mergeCell ref="O392:P392"/>
    <mergeCell ref="Q392:R392"/>
    <mergeCell ref="S392:T392"/>
    <mergeCell ref="U392:W392"/>
    <mergeCell ref="K334:L334"/>
    <mergeCell ref="M334:N334"/>
    <mergeCell ref="O334:P334"/>
    <mergeCell ref="Q334:R334"/>
    <mergeCell ref="S334:T334"/>
    <mergeCell ref="I346:J346"/>
    <mergeCell ref="K346:L346"/>
    <mergeCell ref="M346:N346"/>
    <mergeCell ref="O346:P346"/>
    <mergeCell ref="Q346:R346"/>
    <mergeCell ref="S346:T346"/>
    <mergeCell ref="I343:J343"/>
    <mergeCell ref="K343:L343"/>
    <mergeCell ref="M343:N343"/>
    <mergeCell ref="O343:P343"/>
    <mergeCell ref="Q343:R343"/>
    <mergeCell ref="S343:T343"/>
    <mergeCell ref="I339:J339"/>
    <mergeCell ref="K339:L339"/>
    <mergeCell ref="M339:N339"/>
    <mergeCell ref="O339:P339"/>
    <mergeCell ref="Q339:R339"/>
    <mergeCell ref="S339:T339"/>
    <mergeCell ref="K335:L335"/>
    <mergeCell ref="S356:T356"/>
    <mergeCell ref="U356:W356"/>
    <mergeCell ref="I354:J354"/>
    <mergeCell ref="K354:L354"/>
    <mergeCell ref="M354:N354"/>
    <mergeCell ref="O354:P354"/>
    <mergeCell ref="Q354:R354"/>
    <mergeCell ref="S354:T354"/>
    <mergeCell ref="U354:W354"/>
    <mergeCell ref="I355:J355"/>
    <mergeCell ref="K355:L355"/>
    <mergeCell ref="M355:N355"/>
    <mergeCell ref="O355:P355"/>
    <mergeCell ref="S355:T355"/>
    <mergeCell ref="U355:W355"/>
    <mergeCell ref="I356:J356"/>
    <mergeCell ref="K356:L356"/>
    <mergeCell ref="M356:N356"/>
    <mergeCell ref="O356:P356"/>
    <mergeCell ref="Q356:R356"/>
    <mergeCell ref="Q355:R355"/>
    <mergeCell ref="S352:T352"/>
    <mergeCell ref="U352:W352"/>
    <mergeCell ref="I353:J353"/>
    <mergeCell ref="K353:L353"/>
    <mergeCell ref="M353:N353"/>
    <mergeCell ref="O353:P353"/>
    <mergeCell ref="Q353:R353"/>
    <mergeCell ref="S353:T353"/>
    <mergeCell ref="U353:W353"/>
    <mergeCell ref="O350:P350"/>
    <mergeCell ref="Q350:R350"/>
    <mergeCell ref="I349:J349"/>
    <mergeCell ref="K349:L349"/>
    <mergeCell ref="M349:N349"/>
    <mergeCell ref="O349:P349"/>
    <mergeCell ref="I352:J352"/>
    <mergeCell ref="K352:L352"/>
    <mergeCell ref="M352:N352"/>
    <mergeCell ref="O352:P352"/>
    <mergeCell ref="Q352:R352"/>
    <mergeCell ref="I764:W766"/>
    <mergeCell ref="I721:W721"/>
    <mergeCell ref="I722:W724"/>
    <mergeCell ref="I725:W725"/>
    <mergeCell ref="I732:W733"/>
    <mergeCell ref="I730:W731"/>
    <mergeCell ref="U348:W348"/>
    <mergeCell ref="U346:W346"/>
    <mergeCell ref="I347:J347"/>
    <mergeCell ref="S350:T350"/>
    <mergeCell ref="U350:W350"/>
    <mergeCell ref="I351:J351"/>
    <mergeCell ref="K351:L351"/>
    <mergeCell ref="M351:N351"/>
    <mergeCell ref="O351:P351"/>
    <mergeCell ref="Q351:R351"/>
    <mergeCell ref="S351:T351"/>
    <mergeCell ref="U351:W351"/>
    <mergeCell ref="K347:L347"/>
    <mergeCell ref="M347:N347"/>
    <mergeCell ref="O347:P347"/>
    <mergeCell ref="Q347:R347"/>
    <mergeCell ref="I350:J350"/>
    <mergeCell ref="K350:L350"/>
    <mergeCell ref="I738:W738"/>
    <mergeCell ref="I921:W923"/>
    <mergeCell ref="I739:W739"/>
    <mergeCell ref="I742:W742"/>
    <mergeCell ref="I716:W716"/>
    <mergeCell ref="I718:W720"/>
    <mergeCell ref="I717:W717"/>
    <mergeCell ref="I707:W712"/>
    <mergeCell ref="I734:W734"/>
    <mergeCell ref="I790:W790"/>
    <mergeCell ref="I801:W802"/>
    <mergeCell ref="I807:W807"/>
    <mergeCell ref="I791:W792"/>
    <mergeCell ref="I795:W796"/>
    <mergeCell ref="Q887:W887"/>
    <mergeCell ref="I887:O887"/>
    <mergeCell ref="I888:O888"/>
    <mergeCell ref="U914:W914"/>
    <mergeCell ref="I799:W800"/>
    <mergeCell ref="I793:W794"/>
    <mergeCell ref="I797:W798"/>
    <mergeCell ref="S913:W913"/>
    <mergeCell ref="I906:W908"/>
    <mergeCell ref="I893:O893"/>
    <mergeCell ref="I657:K657"/>
    <mergeCell ref="M656:W656"/>
    <mergeCell ref="I852:W854"/>
    <mergeCell ref="Q863:W864"/>
    <mergeCell ref="U648:W648"/>
    <mergeCell ref="Q336:R336"/>
    <mergeCell ref="K337:L337"/>
    <mergeCell ref="M337:N337"/>
    <mergeCell ref="O337:P337"/>
    <mergeCell ref="Q337:R337"/>
    <mergeCell ref="K342:L342"/>
    <mergeCell ref="M342:N342"/>
    <mergeCell ref="O342:P342"/>
    <mergeCell ref="Q342:R342"/>
    <mergeCell ref="S342:T342"/>
    <mergeCell ref="U342:W342"/>
    <mergeCell ref="Q349:R349"/>
    <mergeCell ref="S349:T349"/>
    <mergeCell ref="U349:W349"/>
    <mergeCell ref="S347:T347"/>
    <mergeCell ref="U347:W347"/>
    <mergeCell ref="I348:J348"/>
    <mergeCell ref="K348:L348"/>
    <mergeCell ref="M348:N348"/>
    <mergeCell ref="U9:X9"/>
    <mergeCell ref="U535:W535"/>
    <mergeCell ref="Q535:S535"/>
    <mergeCell ref="I523:W523"/>
    <mergeCell ref="I532:W532"/>
    <mergeCell ref="I494:K494"/>
    <mergeCell ref="I515:U516"/>
    <mergeCell ref="I502:W506"/>
    <mergeCell ref="I520:Q520"/>
    <mergeCell ref="S520:W520"/>
    <mergeCell ref="I527:Q527"/>
    <mergeCell ref="S527:W527"/>
    <mergeCell ref="I529:Q529"/>
    <mergeCell ref="S529:W529"/>
    <mergeCell ref="I524:U524"/>
    <mergeCell ref="O489:P489"/>
    <mergeCell ref="I36:W36"/>
    <mergeCell ref="I74:W76"/>
    <mergeCell ref="I479:W480"/>
    <mergeCell ref="U334:W334"/>
    <mergeCell ref="O348:P348"/>
    <mergeCell ref="Q348:R348"/>
    <mergeCell ref="S348:T348"/>
    <mergeCell ref="M350:N350"/>
    <mergeCell ref="Q893:W893"/>
    <mergeCell ref="I769:W782"/>
    <mergeCell ref="I752:U752"/>
    <mergeCell ref="I768:U768"/>
    <mergeCell ref="I748:W748"/>
    <mergeCell ref="I746:W747"/>
    <mergeCell ref="I753:W762"/>
    <mergeCell ref="I726:W729"/>
    <mergeCell ref="I917:U917"/>
    <mergeCell ref="I848:W848"/>
    <mergeCell ref="I816:W816"/>
    <mergeCell ref="I817:W817"/>
    <mergeCell ref="I818:W820"/>
    <mergeCell ref="I821:W821"/>
    <mergeCell ref="I831:W831"/>
    <mergeCell ref="I832:W832"/>
    <mergeCell ref="I837:W837"/>
    <mergeCell ref="I834:W836"/>
    <mergeCell ref="I822:W827"/>
    <mergeCell ref="I838:W847"/>
    <mergeCell ref="I874:W876"/>
    <mergeCell ref="Q862:W862"/>
    <mergeCell ref="I866:O866"/>
    <mergeCell ref="Q866:W866"/>
    <mergeCell ref="I334:J334"/>
    <mergeCell ref="I912:U912"/>
    <mergeCell ref="I914:S915"/>
    <mergeCell ref="I897:W897"/>
    <mergeCell ref="I919:S920"/>
    <mergeCell ref="U919:W919"/>
    <mergeCell ref="S918:W918"/>
    <mergeCell ref="I891:O891"/>
    <mergeCell ref="Q891:W891"/>
    <mergeCell ref="I895:U896"/>
    <mergeCell ref="I903:U903"/>
    <mergeCell ref="I899:W901"/>
    <mergeCell ref="O599:W599"/>
    <mergeCell ref="U593:W593"/>
    <mergeCell ref="U594:W594"/>
    <mergeCell ref="U596:X596"/>
    <mergeCell ref="I868:O868"/>
    <mergeCell ref="Q868:W868"/>
    <mergeCell ref="I870:U871"/>
    <mergeCell ref="I878:U878"/>
    <mergeCell ref="I881:W883"/>
    <mergeCell ref="I872:W872"/>
    <mergeCell ref="I638:S638"/>
    <mergeCell ref="T634:W634"/>
    <mergeCell ref="O344:P344"/>
    <mergeCell ref="Q344:R344"/>
    <mergeCell ref="S344:T344"/>
    <mergeCell ref="U344:W344"/>
    <mergeCell ref="O338:P338"/>
    <mergeCell ref="Q338:R338"/>
    <mergeCell ref="S338:T338"/>
    <mergeCell ref="M335:N335"/>
    <mergeCell ref="S341:T341"/>
    <mergeCell ref="U341:W341"/>
    <mergeCell ref="U335:W335"/>
    <mergeCell ref="Q335:R335"/>
    <mergeCell ref="S335:T335"/>
    <mergeCell ref="S337:T337"/>
    <mergeCell ref="U337:W337"/>
    <mergeCell ref="U338:W338"/>
    <mergeCell ref="I172:W173"/>
    <mergeCell ref="I178:W179"/>
    <mergeCell ref="I175:W177"/>
    <mergeCell ref="I157:W160"/>
    <mergeCell ref="I89:W90"/>
    <mergeCell ref="X230:X231"/>
    <mergeCell ref="S127:W127"/>
    <mergeCell ref="O127:Q127"/>
    <mergeCell ref="I127:M127"/>
    <mergeCell ref="I204:W215"/>
    <mergeCell ref="I129:W131"/>
    <mergeCell ref="I219:W227"/>
    <mergeCell ref="I185:U186"/>
    <mergeCell ref="I187:U188"/>
    <mergeCell ref="I191:U192"/>
    <mergeCell ref="I193:U194"/>
    <mergeCell ref="I336:J336"/>
    <mergeCell ref="K336:L336"/>
    <mergeCell ref="M336:N336"/>
    <mergeCell ref="O336:P336"/>
    <mergeCell ref="I338:J338"/>
    <mergeCell ref="K338:L338"/>
    <mergeCell ref="M338:N338"/>
    <mergeCell ref="I342:J342"/>
    <mergeCell ref="O335:P335"/>
    <mergeCell ref="I335:J335"/>
    <mergeCell ref="I6:Y6"/>
    <mergeCell ref="I59:M59"/>
    <mergeCell ref="O59:Q59"/>
    <mergeCell ref="I62:O62"/>
    <mergeCell ref="I73:K73"/>
    <mergeCell ref="U73:W73"/>
    <mergeCell ref="M73:S73"/>
    <mergeCell ref="O46:Q46"/>
    <mergeCell ref="I46:M46"/>
    <mergeCell ref="I42:W42"/>
    <mergeCell ref="Q44:W44"/>
    <mergeCell ref="I44:O44"/>
    <mergeCell ref="I48:O48"/>
    <mergeCell ref="Q48:W48"/>
    <mergeCell ref="I49:O49"/>
    <mergeCell ref="I55:W55"/>
    <mergeCell ref="I13:M13"/>
    <mergeCell ref="I14:M14"/>
    <mergeCell ref="I21:M21"/>
    <mergeCell ref="I20:M20"/>
    <mergeCell ref="I30:W30"/>
    <mergeCell ref="Q32:U32"/>
    <mergeCell ref="I15:M15"/>
    <mergeCell ref="I16:M16"/>
    <mergeCell ref="I279:U280"/>
    <mergeCell ref="I294:W294"/>
    <mergeCell ref="Q13:U13"/>
    <mergeCell ref="Q15:U15"/>
    <mergeCell ref="Q14:U14"/>
    <mergeCell ref="I19:M19"/>
    <mergeCell ref="Q17:U17"/>
    <mergeCell ref="I32:O32"/>
    <mergeCell ref="I22:M22"/>
    <mergeCell ref="Q18:U18"/>
    <mergeCell ref="Q19:U19"/>
    <mergeCell ref="Q20:U20"/>
    <mergeCell ref="Q21:U21"/>
    <mergeCell ref="Q22:U22"/>
    <mergeCell ref="Q23:U23"/>
    <mergeCell ref="I23:M23"/>
    <mergeCell ref="I17:M17"/>
    <mergeCell ref="Q16:U16"/>
    <mergeCell ref="I18:M18"/>
    <mergeCell ref="I232:W240"/>
    <mergeCell ref="I97:U97"/>
    <mergeCell ref="I84:W84"/>
    <mergeCell ref="I99:U99"/>
    <mergeCell ref="I88:Q88"/>
    <mergeCell ref="I359:W364"/>
    <mergeCell ref="I374:W379"/>
    <mergeCell ref="S336:T336"/>
    <mergeCell ref="U336:W336"/>
    <mergeCell ref="U339:W339"/>
    <mergeCell ref="I340:J340"/>
    <mergeCell ref="K340:L340"/>
    <mergeCell ref="M340:N340"/>
    <mergeCell ref="O340:P340"/>
    <mergeCell ref="Q340:R340"/>
    <mergeCell ref="S340:T340"/>
    <mergeCell ref="U343:W343"/>
    <mergeCell ref="I341:J341"/>
    <mergeCell ref="K341:L341"/>
    <mergeCell ref="M341:N341"/>
    <mergeCell ref="O341:P341"/>
    <mergeCell ref="Q341:R341"/>
    <mergeCell ref="U340:W340"/>
    <mergeCell ref="I337:J337"/>
    <mergeCell ref="I370:W370"/>
    <mergeCell ref="I372:W372"/>
    <mergeCell ref="I344:J344"/>
    <mergeCell ref="K344:L344"/>
    <mergeCell ref="M344:N344"/>
    <mergeCell ref="Q57:W57"/>
    <mergeCell ref="I61:O61"/>
    <mergeCell ref="Q61:W61"/>
    <mergeCell ref="I79:K79"/>
    <mergeCell ref="M79:Q79"/>
    <mergeCell ref="S79:W79"/>
    <mergeCell ref="I80:W82"/>
    <mergeCell ref="Q34:W34"/>
    <mergeCell ref="I268:W272"/>
    <mergeCell ref="I57:O57"/>
    <mergeCell ref="I142:U143"/>
    <mergeCell ref="I144:U145"/>
    <mergeCell ref="I149:S149"/>
    <mergeCell ref="I148:W148"/>
    <mergeCell ref="I265:W267"/>
    <mergeCell ref="S88:W88"/>
    <mergeCell ref="I95:U95"/>
    <mergeCell ref="I196:W199"/>
    <mergeCell ref="U110:W110"/>
    <mergeCell ref="I161:U162"/>
    <mergeCell ref="I163:U164"/>
    <mergeCell ref="I166:U167"/>
    <mergeCell ref="I168:U169"/>
    <mergeCell ref="I170:U171"/>
    <mergeCell ref="O484:P484"/>
    <mergeCell ref="O485:P485"/>
    <mergeCell ref="I69:K69"/>
    <mergeCell ref="I114:W117"/>
    <mergeCell ref="I248:W248"/>
    <mergeCell ref="S100:W100"/>
    <mergeCell ref="S101:W101"/>
    <mergeCell ref="I103:U104"/>
    <mergeCell ref="U245:W245"/>
    <mergeCell ref="U246:W246"/>
    <mergeCell ref="I296:W296"/>
    <mergeCell ref="I416:W421"/>
    <mergeCell ref="I429:W434"/>
    <mergeCell ref="I436:W444"/>
    <mergeCell ref="I287:W289"/>
    <mergeCell ref="I316:W321"/>
    <mergeCell ref="I471:W476"/>
    <mergeCell ref="Q483:T483"/>
    <mergeCell ref="U484:W484"/>
    <mergeCell ref="U485:W485"/>
    <mergeCell ref="I150:W153"/>
    <mergeCell ref="I140:U141"/>
    <mergeCell ref="I381:W389"/>
    <mergeCell ref="I324:W332"/>
    <mergeCell ref="Q484:S484"/>
    <mergeCell ref="I427:W427"/>
    <mergeCell ref="U491:W491"/>
    <mergeCell ref="U492:W492"/>
    <mergeCell ref="U493:W493"/>
    <mergeCell ref="Q489:S489"/>
    <mergeCell ref="Q490:S490"/>
    <mergeCell ref="I493:K493"/>
    <mergeCell ref="I446:J446"/>
    <mergeCell ref="K446:L446"/>
    <mergeCell ref="M446:N446"/>
    <mergeCell ref="O446:P446"/>
    <mergeCell ref="Q446:R446"/>
    <mergeCell ref="S446:T446"/>
    <mergeCell ref="U446:W446"/>
    <mergeCell ref="I447:J447"/>
    <mergeCell ref="K447:L447"/>
    <mergeCell ref="M447:N447"/>
    <mergeCell ref="O447:P447"/>
    <mergeCell ref="Q447:R447"/>
    <mergeCell ref="S447:T447"/>
    <mergeCell ref="U447:W447"/>
    <mergeCell ref="I484:K485"/>
    <mergeCell ref="O483:P483"/>
    <mergeCell ref="T638:W638"/>
    <mergeCell ref="I652:W653"/>
    <mergeCell ref="I656:K656"/>
    <mergeCell ref="U536:W536"/>
    <mergeCell ref="I536:O536"/>
    <mergeCell ref="I518:Q518"/>
    <mergeCell ref="S518:W518"/>
    <mergeCell ref="I540:W541"/>
    <mergeCell ref="I533:U533"/>
    <mergeCell ref="I538:M538"/>
    <mergeCell ref="O538:S538"/>
    <mergeCell ref="U591:X591"/>
    <mergeCell ref="Q587:W587"/>
    <mergeCell ref="Q566:W566"/>
    <mergeCell ref="I570:W573"/>
    <mergeCell ref="I554:W563"/>
    <mergeCell ref="I610:W610"/>
    <mergeCell ref="U538:W538"/>
    <mergeCell ref="T635:W635"/>
    <mergeCell ref="I630:W631"/>
    <mergeCell ref="I592:O592"/>
    <mergeCell ref="I593:O593"/>
    <mergeCell ref="I594:O594"/>
    <mergeCell ref="I585:X585"/>
    <mergeCell ref="I862:O862"/>
    <mergeCell ref="I863:O863"/>
    <mergeCell ref="I857:W858"/>
    <mergeCell ref="T639:W639"/>
    <mergeCell ref="I644:W645"/>
    <mergeCell ref="I647:U647"/>
    <mergeCell ref="T640:W640"/>
    <mergeCell ref="I607:W607"/>
    <mergeCell ref="I608:W608"/>
    <mergeCell ref="I609:W609"/>
    <mergeCell ref="I804:W806"/>
    <mergeCell ref="I661:W680"/>
    <mergeCell ref="I685:V687"/>
    <mergeCell ref="I689:V691"/>
    <mergeCell ref="I693:V694"/>
    <mergeCell ref="I697:V700"/>
    <mergeCell ref="I702:V703"/>
    <mergeCell ref="I633:S633"/>
    <mergeCell ref="T633:W633"/>
    <mergeCell ref="I635:S635"/>
    <mergeCell ref="I636:S636"/>
    <mergeCell ref="I637:S637"/>
    <mergeCell ref="I634:S634"/>
    <mergeCell ref="T637:W637"/>
    <mergeCell ref="O488:P488"/>
    <mergeCell ref="I514:W514"/>
    <mergeCell ref="I488:K488"/>
    <mergeCell ref="U489:W489"/>
    <mergeCell ref="O494:P494"/>
    <mergeCell ref="U495:W495"/>
    <mergeCell ref="N497:W498"/>
    <mergeCell ref="I491:L491"/>
    <mergeCell ref="U490:W490"/>
    <mergeCell ref="I483:K483"/>
    <mergeCell ref="Q591:T591"/>
    <mergeCell ref="T636:W636"/>
    <mergeCell ref="I586:P586"/>
    <mergeCell ref="Q586:X586"/>
    <mergeCell ref="I587:O587"/>
    <mergeCell ref="I588:X588"/>
    <mergeCell ref="U595:W595"/>
    <mergeCell ref="Q594:S594"/>
    <mergeCell ref="U592:W592"/>
    <mergeCell ref="Q592:S592"/>
    <mergeCell ref="Q593:S593"/>
    <mergeCell ref="I601:W602"/>
    <mergeCell ref="Q486:S486"/>
    <mergeCell ref="Q491:S491"/>
    <mergeCell ref="Q492:S492"/>
    <mergeCell ref="I490:K490"/>
    <mergeCell ref="I507:W509"/>
    <mergeCell ref="Q536:S536"/>
    <mergeCell ref="U486:W486"/>
    <mergeCell ref="U487:W487"/>
    <mergeCell ref="U488:W488"/>
    <mergeCell ref="O486:P486"/>
    <mergeCell ref="O487:P487"/>
    <mergeCell ref="I575:W577"/>
    <mergeCell ref="Q494:S494"/>
    <mergeCell ref="O490:P490"/>
    <mergeCell ref="O491:P491"/>
    <mergeCell ref="I606:W606"/>
    <mergeCell ref="I618:W626"/>
    <mergeCell ref="I612:U612"/>
    <mergeCell ref="I613:S614"/>
    <mergeCell ref="I590:X590"/>
    <mergeCell ref="I578:W580"/>
    <mergeCell ref="U947:V947"/>
    <mergeCell ref="W947:X947"/>
    <mergeCell ref="U948:V948"/>
    <mergeCell ref="W948:X948"/>
    <mergeCell ref="U949:V949"/>
    <mergeCell ref="W949:X949"/>
    <mergeCell ref="W946:X946"/>
    <mergeCell ref="I425:W425"/>
    <mergeCell ref="I510:W512"/>
    <mergeCell ref="U483:W483"/>
    <mergeCell ref="I803:W803"/>
    <mergeCell ref="O492:P492"/>
    <mergeCell ref="O493:P493"/>
    <mergeCell ref="Q487:S487"/>
    <mergeCell ref="Q488:S488"/>
    <mergeCell ref="Q493:S493"/>
    <mergeCell ref="U494:W494"/>
    <mergeCell ref="I487:K487"/>
    <mergeCell ref="O495:P495"/>
    <mergeCell ref="Q495:S495"/>
    <mergeCell ref="U613:W613"/>
    <mergeCell ref="Q485:S485"/>
    <mergeCell ref="I581:W581"/>
    <mergeCell ref="I591:P591"/>
    <mergeCell ref="W953:X953"/>
    <mergeCell ref="U954:V954"/>
    <mergeCell ref="W954:X954"/>
    <mergeCell ref="U955:V955"/>
    <mergeCell ref="W955:X955"/>
    <mergeCell ref="U950:V950"/>
    <mergeCell ref="W950:X950"/>
    <mergeCell ref="U951:V951"/>
    <mergeCell ref="W951:X951"/>
    <mergeCell ref="U952:V952"/>
    <mergeCell ref="W952:X952"/>
    <mergeCell ref="U956:V956"/>
    <mergeCell ref="W956:X956"/>
    <mergeCell ref="W957:X957"/>
    <mergeCell ref="Q25:X25"/>
    <mergeCell ref="I942:X943"/>
    <mergeCell ref="U944:V944"/>
    <mergeCell ref="W944:X944"/>
    <mergeCell ref="I944:T944"/>
    <mergeCell ref="I945:T945"/>
    <mergeCell ref="I946:T946"/>
    <mergeCell ref="I947:T947"/>
    <mergeCell ref="I948:T948"/>
    <mergeCell ref="I949:T949"/>
    <mergeCell ref="I950:T950"/>
    <mergeCell ref="I951:T951"/>
    <mergeCell ref="I952:T952"/>
    <mergeCell ref="I953:T953"/>
    <mergeCell ref="I954:T954"/>
    <mergeCell ref="I955:T955"/>
    <mergeCell ref="I956:T956"/>
    <mergeCell ref="U945:V945"/>
    <mergeCell ref="W945:X945"/>
    <mergeCell ref="U946:V946"/>
    <mergeCell ref="U953:V953"/>
  </mergeCells>
  <conditionalFormatting sqref="S3">
    <cfRule type="dataBar" priority="882">
      <dataBar>
        <cfvo type="num" val="0"/>
        <cfvo type="num" val="1"/>
        <color theme="6" tint="-0.249977111117893"/>
      </dataBar>
    </cfRule>
  </conditionalFormatting>
  <conditionalFormatting sqref="S918 S913 U918 T640 U613 I657 I588 I514 I523 I532 I484 I488 I494 I491 I49 I62 I863 I888 U596:X596">
    <cfRule type="notContainsBlanks" dxfId="347" priority="6157">
      <formula>LEN(TRIM(I49))&gt;0</formula>
    </cfRule>
  </conditionalFormatting>
  <conditionalFormatting sqref="X48 P48 P44 X44 X42 X46 N46 R46 T46">
    <cfRule type="iconSet" priority="508">
      <iconSet iconSet="3Symbols" showValue="0">
        <cfvo type="percent" val="0"/>
        <cfvo type="num" val="0" gte="0"/>
        <cfvo type="num" val="2"/>
      </iconSet>
    </cfRule>
  </conditionalFormatting>
  <conditionalFormatting sqref="X61 P61 P57 X57 X55 X59 N59 R59 T59">
    <cfRule type="iconSet" priority="507">
      <iconSet iconSet="3Symbols" showValue="0">
        <cfvo type="percent" val="0"/>
        <cfvo type="num" val="0" gte="0"/>
        <cfvo type="num" val="2"/>
      </iconSet>
    </cfRule>
  </conditionalFormatting>
  <conditionalFormatting sqref="R9 N9 J9">
    <cfRule type="iconSet" priority="460">
      <iconSet iconSet="3Symbols" showValue="0">
        <cfvo type="percent" val="0"/>
        <cfvo type="num" val="0" gte="0"/>
        <cfvo type="num" val="2"/>
      </iconSet>
    </cfRule>
  </conditionalFormatting>
  <conditionalFormatting sqref="H6">
    <cfRule type="iconSet" priority="426">
      <iconSet iconSet="3Flags" showValue="0">
        <cfvo type="percent" val="0"/>
        <cfvo type="num" val="1"/>
        <cfvo type="num" val="2" gte="0"/>
      </iconSet>
    </cfRule>
    <cfRule type="expression" dxfId="346" priority="427">
      <formula>($B$10=TRUE)</formula>
    </cfRule>
  </conditionalFormatting>
  <conditionalFormatting sqref="I6:Y6">
    <cfRule type="expression" dxfId="345" priority="428">
      <formula>($B$10=TRUE)</formula>
    </cfRule>
  </conditionalFormatting>
  <conditionalFormatting sqref="X36 V32 P32 X30 X32 L34 P34 X34">
    <cfRule type="iconSet" priority="2054">
      <iconSet iconSet="3Symbols" showValue="0">
        <cfvo type="percent" val="0"/>
        <cfvo type="num" val="0" gte="0"/>
        <cfvo type="num" val="2"/>
      </iconSet>
    </cfRule>
  </conditionalFormatting>
  <conditionalFormatting sqref="X43">
    <cfRule type="iconSet" priority="421">
      <iconSet iconSet="3Symbols" showValue="0">
        <cfvo type="percent" val="0"/>
        <cfvo type="num" val="0" gte="0"/>
        <cfvo type="num" val="2"/>
      </iconSet>
    </cfRule>
  </conditionalFormatting>
  <conditionalFormatting sqref="X56">
    <cfRule type="iconSet" priority="420">
      <iconSet iconSet="3Symbols" showValue="0">
        <cfvo type="percent" val="0"/>
        <cfvo type="num" val="0" gte="0"/>
        <cfvo type="num" val="2"/>
      </iconSet>
    </cfRule>
  </conditionalFormatting>
  <conditionalFormatting sqref="X88 R88 L69 L73 T73 X73 L79 R79 X79">
    <cfRule type="iconSet" priority="3288">
      <iconSet iconSet="3Symbols" showValue="0">
        <cfvo type="percent" val="0"/>
        <cfvo type="num" val="0" gte="0"/>
        <cfvo type="num" val="2"/>
      </iconSet>
    </cfRule>
  </conditionalFormatting>
  <conditionalFormatting sqref="S79 M79">
    <cfRule type="expression" dxfId="344" priority="3865">
      <formula>OR($I$79="",$I$69&lt;&gt;"")</formula>
    </cfRule>
  </conditionalFormatting>
  <conditionalFormatting sqref="M73:S73 U73">
    <cfRule type="expression" dxfId="343" priority="415">
      <formula>OR($I$73="",$I$73=0)</formula>
    </cfRule>
  </conditionalFormatting>
  <conditionalFormatting sqref="I79:K79">
    <cfRule type="expression" dxfId="342" priority="410">
      <formula>($I$69&lt;&gt;"")</formula>
    </cfRule>
  </conditionalFormatting>
  <conditionalFormatting sqref="X95 X97 X103 X99:X101">
    <cfRule type="iconSet" priority="408">
      <iconSet iconSet="3Symbols" showValue="0">
        <cfvo type="percent" val="0"/>
        <cfvo type="num" val="0" gte="0"/>
        <cfvo type="num" val="2"/>
      </iconSet>
    </cfRule>
  </conditionalFormatting>
  <conditionalFormatting sqref="S100:S101">
    <cfRule type="expression" dxfId="341" priority="406">
      <formula>UPPER($W$99)&lt;&gt;"YES"</formula>
    </cfRule>
  </conditionalFormatting>
  <conditionalFormatting sqref="X136">
    <cfRule type="iconSet" priority="391">
      <iconSet iconSet="3Symbols" showValue="0">
        <cfvo type="percent" val="0"/>
        <cfvo type="num" val="0" gte="0"/>
        <cfvo type="num" val="2"/>
      </iconSet>
    </cfRule>
  </conditionalFormatting>
  <conditionalFormatting sqref="X129">
    <cfRule type="iconSet" priority="387">
      <iconSet iconSet="3Symbols" showValue="0">
        <cfvo type="percent" val="0"/>
        <cfvo type="num" val="0" gte="0"/>
        <cfvo type="num" val="2"/>
      </iconSet>
    </cfRule>
  </conditionalFormatting>
  <conditionalFormatting sqref="X232 X219 X204 X196 X119:X123 X114 N127 R127 X127 X129 X135:X136 X110:X112 X182:X183 X185:X188">
    <cfRule type="iconSet" priority="385">
      <iconSet iconSet="3Symbols" showValue="0">
        <cfvo type="percent" val="0"/>
        <cfvo type="num" val="0" gte="0"/>
        <cfvo type="num" val="2"/>
      </iconSet>
    </cfRule>
  </conditionalFormatting>
  <conditionalFormatting sqref="X114">
    <cfRule type="iconSet" priority="384">
      <iconSet iconSet="3Symbols" showValue="0">
        <cfvo type="percent" val="0"/>
        <cfvo type="num" val="0" gte="0"/>
        <cfvo type="num" val="2"/>
      </iconSet>
    </cfRule>
  </conditionalFormatting>
  <conditionalFormatting sqref="I114:W117">
    <cfRule type="expression" dxfId="340" priority="381">
      <formula>(UPPER($W$111)&lt;&gt;"YES")</formula>
    </cfRule>
  </conditionalFormatting>
  <conditionalFormatting sqref="I127:M127 O127 S127 I129">
    <cfRule type="expression" dxfId="339" priority="380">
      <formula>UPPER($W$123)&lt;&gt;"YES"</formula>
    </cfRule>
  </conditionalFormatting>
  <conditionalFormatting sqref="W136">
    <cfRule type="expression" dxfId="338" priority="379">
      <formula>UPPER($W$135)&lt;&gt;"YES"</formula>
    </cfRule>
  </conditionalFormatting>
  <conditionalFormatting sqref="X189">
    <cfRule type="iconSet" priority="378">
      <iconSet iconSet="3Symbols" showValue="0">
        <cfvo type="percent" val="0"/>
        <cfvo type="num" val="0" gte="0"/>
        <cfvo type="num" val="2"/>
      </iconSet>
    </cfRule>
  </conditionalFormatting>
  <conditionalFormatting sqref="I196:W199">
    <cfRule type="expression" dxfId="337" priority="377">
      <formula>AND(UPPER($W$185)&lt;&gt;"YES",UPPER($W$187)&lt;&gt;"YES",UPPER($W$189)&lt;&gt;"YES",UPPER($W$191)&lt;&gt;"YES",UPPER($W$193)&lt;&gt;"YES")</formula>
    </cfRule>
  </conditionalFormatting>
  <conditionalFormatting sqref="T3">
    <cfRule type="iconSet" priority="376">
      <iconSet iconSet="3Symbols2" showValue="0">
        <cfvo type="percent" val="0"/>
        <cfvo type="num" val="0" gte="0"/>
        <cfvo type="num" val="2"/>
      </iconSet>
    </cfRule>
  </conditionalFormatting>
  <conditionalFormatting sqref="P13:P18 P20:P23 X13:X24">
    <cfRule type="iconSet" priority="5955">
      <iconSet iconSet="3Symbols2" showValue="0">
        <cfvo type="percent" val="0"/>
        <cfvo type="num" val="0" gte="0"/>
        <cfvo type="num" val="1" gte="0"/>
      </iconSet>
    </cfRule>
  </conditionalFormatting>
  <conditionalFormatting sqref="N13:N25 V13:V24">
    <cfRule type="iconSet" priority="5959">
      <iconSet iconSet="3Flags">
        <cfvo type="percent" val="0"/>
        <cfvo type="num" val="0" gte="0"/>
        <cfvo type="num" val="1000" gte="0"/>
      </iconSet>
    </cfRule>
  </conditionalFormatting>
  <conditionalFormatting sqref="X287 X274:X277 X265 X261:X263 X279:X281 X283 X285">
    <cfRule type="iconSet" priority="368">
      <iconSet iconSet="3Symbols" showValue="0">
        <cfvo type="percent" val="0"/>
        <cfvo type="num" val="0" gte="0"/>
        <cfvo type="num" val="2"/>
      </iconSet>
    </cfRule>
  </conditionalFormatting>
  <conditionalFormatting sqref="I287">
    <cfRule type="expression" dxfId="336" priority="351">
      <formula>UPPER($W$285)&lt;&gt;"YES"</formula>
    </cfRule>
  </conditionalFormatting>
  <conditionalFormatting sqref="I265">
    <cfRule type="expression" dxfId="335" priority="350">
      <formula>AND(UPPER($W$261)&lt;&gt;"YES",UPPER($W$262)&lt;&gt;"YES",UPPER($W$263)&lt;&gt;"YES")</formula>
    </cfRule>
  </conditionalFormatting>
  <conditionalFormatting sqref="W275:W277">
    <cfRule type="expression" dxfId="334" priority="349">
      <formula>UPPER($W$274)&lt;&gt;"YES"</formula>
    </cfRule>
  </conditionalFormatting>
  <conditionalFormatting sqref="X416 X403 X391 X381 X370 X296 X316 X324 X359 X372 X374 X334">
    <cfRule type="iconSet" priority="348">
      <iconSet iconSet="3Symbols" showValue="0">
        <cfvo type="percent" val="0"/>
        <cfvo type="num" val="0" gte="0"/>
        <cfvo type="num" val="2"/>
      </iconSet>
    </cfRule>
  </conditionalFormatting>
  <conditionalFormatting sqref="X296">
    <cfRule type="iconSet" priority="347">
      <iconSet iconSet="3Symbols" showValue="0">
        <cfvo type="percent" val="0"/>
        <cfvo type="num" val="0" gte="0"/>
        <cfvo type="num" val="2"/>
      </iconSet>
    </cfRule>
  </conditionalFormatting>
  <conditionalFormatting sqref="X316">
    <cfRule type="iconSet" priority="346">
      <iconSet iconSet="3Symbols" showValue="0">
        <cfvo type="percent" val="0"/>
        <cfvo type="num" val="0" gte="0"/>
        <cfvo type="num" val="2"/>
      </iconSet>
    </cfRule>
  </conditionalFormatting>
  <conditionalFormatting sqref="X324">
    <cfRule type="iconSet" priority="345">
      <iconSet iconSet="3Symbols" showValue="0">
        <cfvo type="percent" val="0"/>
        <cfvo type="num" val="0" gte="0"/>
        <cfvo type="num" val="2"/>
      </iconSet>
    </cfRule>
  </conditionalFormatting>
  <conditionalFormatting sqref="X471 X458 X446:X447 X436 X425 X427 X429">
    <cfRule type="iconSet" priority="327">
      <iconSet iconSet="3Symbols" showValue="0">
        <cfvo type="percent" val="0"/>
        <cfvo type="num" val="0" gte="0"/>
        <cfvo type="num" val="2"/>
      </iconSet>
    </cfRule>
  </conditionalFormatting>
  <conditionalFormatting sqref="I416 I372:W372 I374 I381 I392:W401 I404:W413">
    <cfRule type="expression" dxfId="333" priority="326">
      <formula>($I$370="")</formula>
    </cfRule>
  </conditionalFormatting>
  <conditionalFormatting sqref="I471 I427:W427 I429 I436 I447:W456 I459:W468">
    <cfRule type="expression" dxfId="332" priority="325">
      <formula>($I$425="")</formula>
    </cfRule>
  </conditionalFormatting>
  <conditionalFormatting sqref="X545:X550 X515 R518 X518 R520 X520 X524 R527 X527 R529 X529 X533 P536 T536 X536 N538 T538 X538">
    <cfRule type="iconSet" priority="324">
      <iconSet iconSet="3Symbols" showValue="0">
        <cfvo type="percent" val="0"/>
        <cfvo type="num" val="0" gte="0"/>
        <cfvo type="num" val="2"/>
      </iconSet>
    </cfRule>
  </conditionalFormatting>
  <conditionalFormatting sqref="I518:Q518 S518 I520 S520">
    <cfRule type="expression" dxfId="331" priority="292">
      <formula>OR($W$515="",$W$515=0)</formula>
    </cfRule>
  </conditionalFormatting>
  <conditionalFormatting sqref="I527:Q527 S527 I529 S529">
    <cfRule type="expression" dxfId="330" priority="291">
      <formula>OR($W$524="",$W$524=0)</formula>
    </cfRule>
  </conditionalFormatting>
  <conditionalFormatting sqref="I538 O538 U538 U536 I536:O536 Q536">
    <cfRule type="expression" dxfId="329" priority="290">
      <formula>OR($W$533="",$W$533=0)</formula>
    </cfRule>
  </conditionalFormatting>
  <conditionalFormatting sqref="X535">
    <cfRule type="iconSet" priority="288">
      <iconSet iconSet="3Flags" showValue="0">
        <cfvo type="percent" val="0"/>
        <cfvo type="num" val="0"/>
        <cfvo type="num" val="2"/>
      </iconSet>
    </cfRule>
  </conditionalFormatting>
  <conditionalFormatting sqref="O13:P18 O20:P25">
    <cfRule type="expression" dxfId="328" priority="454">
      <formula>($P13=2)</formula>
    </cfRule>
  </conditionalFormatting>
  <conditionalFormatting sqref="Q13:U24 Q25">
    <cfRule type="expression" dxfId="327" priority="262">
      <formula>LEN($Q13)&lt;=10</formula>
    </cfRule>
  </conditionalFormatting>
  <conditionalFormatting sqref="I13:I25 J13:M22">
    <cfRule type="expression" dxfId="326" priority="261">
      <formula>LEN($I13)&lt;=10</formula>
    </cfRule>
  </conditionalFormatting>
  <conditionalFormatting sqref="L483 L487 L493 L490 T484:T495 X484:X495">
    <cfRule type="iconSet" priority="259">
      <iconSet iconSet="3Symbols" showValue="0">
        <cfvo type="percent" val="0"/>
        <cfvo type="num" val="0" gte="0"/>
        <cfvo type="num" val="2"/>
      </iconSet>
    </cfRule>
  </conditionalFormatting>
  <conditionalFormatting sqref="U484:W493">
    <cfRule type="expression" dxfId="325" priority="254">
      <formula>$Q484=""</formula>
    </cfRule>
  </conditionalFormatting>
  <conditionalFormatting sqref="O599 W583 I587:X587 I581 U595:X595 I592 T592:X594 P592:Q592 P593:P594">
    <cfRule type="expression" dxfId="324" priority="239">
      <formula>(UPPER($W$569)="NO")</formula>
    </cfRule>
  </conditionalFormatting>
  <conditionalFormatting sqref="X612 X618">
    <cfRule type="iconSet" priority="237">
      <iconSet iconSet="3Symbols" showValue="0">
        <cfvo type="percent" val="0"/>
        <cfvo type="num" val="0" gte="0"/>
        <cfvo type="num" val="2"/>
      </iconSet>
    </cfRule>
  </conditionalFormatting>
  <conditionalFormatting sqref="X688 X684 X692 X696 X701">
    <cfRule type="iconSet" priority="233">
      <iconSet iconSet="3Symbols" showValue="0">
        <cfvo type="percent" val="0"/>
        <cfvo type="num" val="0" gte="0"/>
        <cfvo type="num" val="2"/>
      </iconSet>
    </cfRule>
  </conditionalFormatting>
  <conditionalFormatting sqref="X634:X639">
    <cfRule type="iconSet" priority="227">
      <iconSet iconSet="3Symbols" showValue="0">
        <cfvo type="percent" val="0"/>
        <cfvo type="num" val="0" gte="0"/>
        <cfvo type="num" val="2"/>
      </iconSet>
    </cfRule>
  </conditionalFormatting>
  <conditionalFormatting sqref="L656">
    <cfRule type="iconSet" priority="219">
      <iconSet iconSet="3Symbols" showValue="0">
        <cfvo type="percent" val="0"/>
        <cfvo type="num" val="0" gte="0"/>
        <cfvo type="num" val="2"/>
      </iconSet>
    </cfRule>
  </conditionalFormatting>
  <conditionalFormatting sqref="X656">
    <cfRule type="iconSet" priority="218">
      <iconSet iconSet="3Symbols" showValue="0">
        <cfvo type="percent" val="0"/>
        <cfvo type="num" val="0" gte="0"/>
        <cfvo type="num" val="2"/>
      </iconSet>
    </cfRule>
  </conditionalFormatting>
  <conditionalFormatting sqref="M656:W656">
    <cfRule type="expression" dxfId="323" priority="216">
      <formula>OR($I$656="",$I$656=0)</formula>
    </cfRule>
  </conditionalFormatting>
  <conditionalFormatting sqref="X912 X903 P887 X878 P862 X862 P866 X866 P868 X868 X870 X874 X881 X887 P891 X891 P893 X893 X895 X899 X906 X914 X917 X919">
    <cfRule type="iconSet" priority="214">
      <iconSet iconSet="3Symbols" showValue="0">
        <cfvo type="percent" val="0"/>
        <cfvo type="num" val="0" gte="0"/>
        <cfvo type="num" val="2"/>
      </iconSet>
    </cfRule>
  </conditionalFormatting>
  <conditionalFormatting sqref="W878 I881 I874 Q862 I866 Q866 I868 Q868 W870">
    <cfRule type="expression" dxfId="322" priority="138">
      <formula>OR($I$862=0,$I$862="")</formula>
    </cfRule>
  </conditionalFormatting>
  <conditionalFormatting sqref="I874">
    <cfRule type="expression" dxfId="321" priority="137">
      <formula>UPPER($W$870)&lt;&gt;"YES"</formula>
    </cfRule>
  </conditionalFormatting>
  <conditionalFormatting sqref="I881">
    <cfRule type="expression" dxfId="320" priority="136">
      <formula>UPPER($W$878)&lt;&gt;"YES"</formula>
    </cfRule>
  </conditionalFormatting>
  <conditionalFormatting sqref="W903 I906 I899 Q887 I891 Q891 I893 Q893 W895">
    <cfRule type="expression" dxfId="319" priority="135">
      <formula>OR($I$887="",$I$887=0)</formula>
    </cfRule>
  </conditionalFormatting>
  <conditionalFormatting sqref="I899">
    <cfRule type="expression" dxfId="318" priority="134">
      <formula>UPPER($W$895)&lt;&gt;"YES"</formula>
    </cfRule>
  </conditionalFormatting>
  <conditionalFormatting sqref="I906">
    <cfRule type="expression" dxfId="317" priority="133">
      <formula>UPPER($W$903)&lt;&gt;"YES"</formula>
    </cfRule>
  </conditionalFormatting>
  <conditionalFormatting sqref="I587:X587 U595:X595 I592 T592:X594 P592:Q592 P593:P594">
    <cfRule type="expression" dxfId="316" priority="129">
      <formula>UPPER($W$583)&lt;&gt;"YES"</formula>
    </cfRule>
  </conditionalFormatting>
  <conditionalFormatting sqref="Q593:X594">
    <cfRule type="expression" dxfId="315" priority="128">
      <formula>$I593=""</formula>
    </cfRule>
  </conditionalFormatting>
  <conditionalFormatting sqref="I717:W717 I721:W721 I725:W725 I734:W734 J837:W837 I837:I838 I848:W848 I807:W807 I748:W748 I739:W739 I745:W745 I742:W742 I791:W803 I804 J832:W832 I832:I833 I730">
    <cfRule type="expression" dxfId="314" priority="124">
      <formula>($H717="Y")</formula>
    </cfRule>
  </conditionalFormatting>
  <conditionalFormatting sqref="X816 X790 X768 X716 X752 X738 X831">
    <cfRule type="iconSet" priority="114">
      <iconSet iconSet="3Symbols" showValue="0">
        <cfvo type="percent" val="0"/>
        <cfvo type="num" val="0" gte="0"/>
        <cfvo type="num" val="2"/>
      </iconSet>
    </cfRule>
  </conditionalFormatting>
  <conditionalFormatting sqref="I817:W821 I822">
    <cfRule type="expression" dxfId="313" priority="112">
      <formula>$H817="Y"</formula>
    </cfRule>
  </conditionalFormatting>
  <conditionalFormatting sqref="T592">
    <cfRule type="iconSet" priority="108">
      <iconSet iconSet="3Symbols" showValue="0">
        <cfvo type="percent" val="0"/>
        <cfvo type="num" val="0" gte="0"/>
        <cfvo type="num" val="2"/>
      </iconSet>
    </cfRule>
  </conditionalFormatting>
  <conditionalFormatting sqref="I618">
    <cfRule type="expression" dxfId="312" priority="105">
      <formula>OR($W$612="",$W$612=0)</formula>
    </cfRule>
  </conditionalFormatting>
  <conditionalFormatting sqref="I862:O862">
    <cfRule type="expression" dxfId="311" priority="104">
      <formula>$P$862=""</formula>
    </cfRule>
  </conditionalFormatting>
  <conditionalFormatting sqref="I887:O887">
    <cfRule type="expression" dxfId="310" priority="103">
      <formula>$P$887=""</formula>
    </cfRule>
  </conditionalFormatting>
  <conditionalFormatting sqref="W912 W917">
    <cfRule type="expression" dxfId="309" priority="100">
      <formula>OR($X912="",FULLCONTROL_UNITS="",FULLCONTROL_UNITS&lt;1)</formula>
    </cfRule>
  </conditionalFormatting>
  <conditionalFormatting sqref="U914:W914 U919">
    <cfRule type="expression" dxfId="308" priority="98">
      <formula>OR($X914="",$X914=0)</formula>
    </cfRule>
  </conditionalFormatting>
  <conditionalFormatting sqref="W545:W550">
    <cfRule type="expression" dxfId="307" priority="97">
      <formula>AND(OR($W$515="",$W$515=0),OR($W$524="",$W$524=0),OR($W$533="",$W$533=0))</formula>
    </cfRule>
  </conditionalFormatting>
  <conditionalFormatting sqref="T494:T495 X494:X495">
    <cfRule type="iconSet" priority="96">
      <iconSet iconSet="3Symbols" showValue="0">
        <cfvo type="percent" val="0"/>
        <cfvo type="num" val="0" gte="0"/>
        <cfvo type="num" val="2"/>
      </iconSet>
    </cfRule>
  </conditionalFormatting>
  <conditionalFormatting sqref="T494 X494">
    <cfRule type="iconSet" priority="95">
      <iconSet iconSet="3Symbols" showValue="0">
        <cfvo type="percent" val="0"/>
        <cfvo type="num" val="0" gte="0"/>
        <cfvo type="num" val="2"/>
      </iconSet>
    </cfRule>
  </conditionalFormatting>
  <conditionalFormatting sqref="U494">
    <cfRule type="expression" dxfId="306" priority="94">
      <formula>$Q494=""</formula>
    </cfRule>
  </conditionalFormatting>
  <conditionalFormatting sqref="T495 X495">
    <cfRule type="iconSet" priority="93">
      <iconSet iconSet="3Symbols" showValue="0">
        <cfvo type="percent" val="0"/>
        <cfvo type="num" val="0" gte="0"/>
        <cfvo type="num" val="2"/>
      </iconSet>
    </cfRule>
  </conditionalFormatting>
  <conditionalFormatting sqref="U495">
    <cfRule type="expression" dxfId="305" priority="92">
      <formula>$Q495=""</formula>
    </cfRule>
  </conditionalFormatting>
  <conditionalFormatting sqref="U535">
    <cfRule type="expression" dxfId="304" priority="6146">
      <formula>$X$535=1</formula>
    </cfRule>
  </conditionalFormatting>
  <conditionalFormatting sqref="I69:K69">
    <cfRule type="expression" dxfId="303" priority="6156">
      <formula>AND($I$69="",$I$79&lt;&gt;"")</formula>
    </cfRule>
  </conditionalFormatting>
  <conditionalFormatting sqref="X245:X247 X254:X256">
    <cfRule type="iconSet" priority="6240">
      <iconSet iconSet="3Symbols" showValue="0">
        <cfvo type="percent" val="0"/>
        <cfvo type="num" val="0" gte="0"/>
        <cfvo type="num" val="2"/>
      </iconSet>
    </cfRule>
  </conditionalFormatting>
  <conditionalFormatting sqref="W617 W873 W880 W898 W905 W113 W128 W195 W203 W218 W231 W264 W286 W315 W323 W358 W373 W380 W415 W428 W435 W470 W149">
    <cfRule type="expression" dxfId="302" priority="90">
      <formula>UPPER(LEFT(W113,5))="ERROR"</formula>
    </cfRule>
  </conditionalFormatting>
  <conditionalFormatting sqref="X346">
    <cfRule type="iconSet" priority="61">
      <iconSet iconSet="3Symbols" showValue="0">
        <cfvo type="percent" val="0"/>
        <cfvo type="num" val="0" gte="0"/>
        <cfvo type="num" val="2"/>
      </iconSet>
    </cfRule>
  </conditionalFormatting>
  <conditionalFormatting sqref="W112">
    <cfRule type="expression" dxfId="301" priority="55">
      <formula>NOT(AND(UPPER($W$111)="YES",PROJ_STATE_IN_DISTRICT_FLAG=TRUE))</formula>
    </cfRule>
  </conditionalFormatting>
  <conditionalFormatting sqref="X928">
    <cfRule type="iconSet" priority="54">
      <iconSet iconSet="3Symbols" showValue="0">
        <cfvo type="percent" val="0"/>
        <cfvo type="num" val="0" gte="0"/>
        <cfvo type="num" val="2"/>
      </iconSet>
    </cfRule>
  </conditionalFormatting>
  <conditionalFormatting sqref="S88:W88 I88">
    <cfRule type="expression" dxfId="300" priority="6292">
      <formula>($B$95="")</formula>
    </cfRule>
  </conditionalFormatting>
  <conditionalFormatting sqref="N497">
    <cfRule type="notContainsBlanks" dxfId="299" priority="6293">
      <formula>LEN(TRIM(N497))&gt;0</formula>
    </cfRule>
  </conditionalFormatting>
  <conditionalFormatting sqref="I834">
    <cfRule type="expression" dxfId="298" priority="52">
      <formula>($B$536&lt;&gt;1)</formula>
    </cfRule>
  </conditionalFormatting>
  <conditionalFormatting sqref="X834">
    <cfRule type="iconSet" priority="49">
      <iconSet iconSet="3Symbols" showValue="0">
        <cfvo type="percent" val="0"/>
        <cfvo type="num" val="0" gte="0"/>
        <cfvo type="num" val="2"/>
      </iconSet>
    </cfRule>
  </conditionalFormatting>
  <conditionalFormatting sqref="W833">
    <cfRule type="expression" dxfId="297" priority="48">
      <formula>UPPER(LEFT(W833,5))="ERROR"</formula>
    </cfRule>
  </conditionalFormatting>
  <conditionalFormatting sqref="X250">
    <cfRule type="iconSet" priority="47">
      <iconSet iconSet="3Symbols" showValue="0">
        <cfvo type="percent" val="0"/>
        <cfvo type="num" val="0" gte="0"/>
        <cfvo type="num" val="2"/>
      </iconSet>
    </cfRule>
  </conditionalFormatting>
  <conditionalFormatting sqref="X251">
    <cfRule type="iconSet" priority="45">
      <iconSet iconSet="3Symbols" showValue="0">
        <cfvo type="percent" val="0"/>
        <cfvo type="num" val="0" gte="0"/>
        <cfvo type="num" val="2"/>
      </iconSet>
    </cfRule>
  </conditionalFormatting>
  <conditionalFormatting sqref="Q252">
    <cfRule type="notContainsBlanks" dxfId="296" priority="44">
      <formula>LEN(TRIM(Q252))&gt;0</formula>
    </cfRule>
  </conditionalFormatting>
  <conditionalFormatting sqref="X161">
    <cfRule type="iconSet" priority="43">
      <iconSet iconSet="3Symbols" showValue="0">
        <cfvo type="percent" val="0"/>
        <cfvo type="num" val="0" gte="0"/>
        <cfvo type="num" val="2"/>
      </iconSet>
    </cfRule>
  </conditionalFormatting>
  <conditionalFormatting sqref="X163">
    <cfRule type="iconSet" priority="42">
      <iconSet iconSet="3Symbols" showValue="0">
        <cfvo type="percent" val="0"/>
        <cfvo type="num" val="0" gte="0"/>
        <cfvo type="num" val="2"/>
      </iconSet>
    </cfRule>
  </conditionalFormatting>
  <conditionalFormatting sqref="X166">
    <cfRule type="iconSet" priority="41">
      <iconSet iconSet="3Symbols" showValue="0">
        <cfvo type="percent" val="0"/>
        <cfvo type="num" val="0" gte="0"/>
        <cfvo type="num" val="2"/>
      </iconSet>
    </cfRule>
  </conditionalFormatting>
  <conditionalFormatting sqref="X168">
    <cfRule type="iconSet" priority="40">
      <iconSet iconSet="3Symbols" showValue="0">
        <cfvo type="percent" val="0"/>
        <cfvo type="num" val="0" gte="0"/>
        <cfvo type="num" val="2"/>
      </iconSet>
    </cfRule>
  </conditionalFormatting>
  <conditionalFormatting sqref="X170">
    <cfRule type="iconSet" priority="39">
      <iconSet iconSet="3Symbols" showValue="0">
        <cfvo type="percent" val="0"/>
        <cfvo type="num" val="0" gte="0"/>
        <cfvo type="num" val="2"/>
      </iconSet>
    </cfRule>
  </conditionalFormatting>
  <conditionalFormatting sqref="W174">
    <cfRule type="expression" dxfId="295" priority="37">
      <formula>UPPER(LEFT(W174,5))="ERROR"</formula>
    </cfRule>
  </conditionalFormatting>
  <conditionalFormatting sqref="X175">
    <cfRule type="iconSet" priority="36">
      <iconSet iconSet="3Symbols" showValue="0">
        <cfvo type="percent" val="0"/>
        <cfvo type="num" val="0" gte="0"/>
        <cfvo type="num" val="2"/>
      </iconSet>
    </cfRule>
  </conditionalFormatting>
  <conditionalFormatting sqref="W166 W168 W170 I175">
    <cfRule type="expression" dxfId="294" priority="35">
      <formula>UNIQUEFIN_DATA_REQ_FLAG&lt;&gt;TRUE</formula>
    </cfRule>
  </conditionalFormatting>
  <conditionalFormatting sqref="X764">
    <cfRule type="iconSet" priority="34">
      <iconSet iconSet="3Symbols" showValue="0">
        <cfvo type="percent" val="0"/>
        <cfvo type="num" val="0" gte="0"/>
        <cfvo type="num" val="2"/>
      </iconSet>
    </cfRule>
  </conditionalFormatting>
  <conditionalFormatting sqref="W763">
    <cfRule type="expression" dxfId="293" priority="32">
      <formula>UPPER(LEFT(W763,5))="ERROR"</formula>
    </cfRule>
  </conditionalFormatting>
  <conditionalFormatting sqref="X784">
    <cfRule type="iconSet" priority="31">
      <iconSet iconSet="3Symbols" showValue="0">
        <cfvo type="percent" val="0"/>
        <cfvo type="num" val="0" gte="0"/>
        <cfvo type="num" val="2"/>
      </iconSet>
    </cfRule>
  </conditionalFormatting>
  <conditionalFormatting sqref="W783">
    <cfRule type="expression" dxfId="292" priority="29">
      <formula>UPPER(LEFT(W783,5))="ERROR"</formula>
    </cfRule>
  </conditionalFormatting>
  <conditionalFormatting sqref="X810">
    <cfRule type="iconSet" priority="28">
      <iconSet iconSet="3Symbols" showValue="0">
        <cfvo type="percent" val="0"/>
        <cfvo type="num" val="0" gte="0"/>
        <cfvo type="num" val="2"/>
      </iconSet>
    </cfRule>
  </conditionalFormatting>
  <conditionalFormatting sqref="I810">
    <cfRule type="expression" dxfId="291" priority="27">
      <formula>CS_SUSTAINABLE_DESC_REQUIRED_FLG&lt;&gt;TRUE</formula>
    </cfRule>
  </conditionalFormatting>
  <conditionalFormatting sqref="W809">
    <cfRule type="expression" dxfId="290" priority="26">
      <formula>UPPER(LEFT(W809,5))="ERROR"</formula>
    </cfRule>
  </conditionalFormatting>
  <conditionalFormatting sqref="I764:W766">
    <cfRule type="expression" dxfId="289" priority="25">
      <formula>CS_PROXIMITY_TRANSITLINES_DESC_REQUIRED_FLG=FALSE</formula>
    </cfRule>
  </conditionalFormatting>
  <conditionalFormatting sqref="I784:W786">
    <cfRule type="expression" dxfId="288" priority="24">
      <formula>CS_PROXIMITY_AMENITIES_DESC_REQUIRED_FLG&lt;&gt;TRUE</formula>
    </cfRule>
  </conditionalFormatting>
  <conditionalFormatting sqref="P592">
    <cfRule type="iconSet" priority="6308">
      <iconSet iconSet="3Symbols" showValue="0">
        <cfvo type="percent" val="0"/>
        <cfvo type="num" val="0" gte="0"/>
        <cfvo type="num" val="2"/>
      </iconSet>
    </cfRule>
  </conditionalFormatting>
  <conditionalFormatting sqref="I593:I594">
    <cfRule type="expression" dxfId="287" priority="21">
      <formula>(UPPER($W$569)="NO")</formula>
    </cfRule>
  </conditionalFormatting>
  <conditionalFormatting sqref="I593:I594">
    <cfRule type="expression" dxfId="286" priority="20">
      <formula>UPPER($W$583)&lt;&gt;"YES"</formula>
    </cfRule>
  </conditionalFormatting>
  <conditionalFormatting sqref="X592:X595 X581 X599 X569 X583 X566 P587 X587 T593:T594 P593:P594">
    <cfRule type="iconSet" priority="6309">
      <iconSet iconSet="3Symbols" showValue="0">
        <cfvo type="percent" val="0"/>
        <cfvo type="num" val="0" gte="0"/>
        <cfvo type="num" val="2"/>
      </iconSet>
    </cfRule>
  </conditionalFormatting>
  <conditionalFormatting sqref="Q593:Q594">
    <cfRule type="expression" dxfId="285" priority="19">
      <formula>(UPPER($W$569)="NO")</formula>
    </cfRule>
  </conditionalFormatting>
  <conditionalFormatting sqref="Q593:Q594">
    <cfRule type="expression" dxfId="284" priority="18">
      <formula>UPPER($W$583)&lt;&gt;"YES"</formula>
    </cfRule>
  </conditionalFormatting>
  <conditionalFormatting sqref="X150 X140 X142 X144">
    <cfRule type="iconSet" priority="17">
      <iconSet iconSet="3Symbols" showValue="0">
        <cfvo type="percent" val="0"/>
        <cfvo type="num" val="0" gte="0"/>
        <cfvo type="num" val="2"/>
      </iconSet>
    </cfRule>
  </conditionalFormatting>
  <conditionalFormatting sqref="X146">
    <cfRule type="iconSet" priority="16">
      <iconSet iconSet="3Symbols" showValue="0">
        <cfvo type="percent" val="0"/>
        <cfvo type="num" val="0" gte="0"/>
        <cfvo type="num" val="2"/>
      </iconSet>
    </cfRule>
  </conditionalFormatting>
  <conditionalFormatting sqref="I150:W153">
    <cfRule type="expression" dxfId="283" priority="15">
      <formula>NOT(OR(UPPER($W$140)="YES",UPPER($W$142)="YES",UPPER($W$144)="YES",UPPER($W$146)="YES"))</formula>
    </cfRule>
  </conditionalFormatting>
  <conditionalFormatting sqref="X191:X194">
    <cfRule type="iconSet" priority="12">
      <iconSet iconSet="3Symbols" showValue="0">
        <cfvo type="percent" val="0"/>
        <cfvo type="num" val="0" gte="0"/>
        <cfvo type="num" val="2"/>
      </iconSet>
    </cfRule>
  </conditionalFormatting>
  <conditionalFormatting sqref="X302">
    <cfRule type="iconSet" priority="11">
      <iconSet iconSet="3Symbols" showValue="0">
        <cfvo type="percent" val="0"/>
        <cfvo type="num" val="0" gte="0"/>
        <cfvo type="num" val="2"/>
      </iconSet>
    </cfRule>
  </conditionalFormatting>
  <conditionalFormatting sqref="X299">
    <cfRule type="iconSet" priority="9">
      <iconSet iconSet="3Flags" showValue="0">
        <cfvo type="percent" val="0"/>
        <cfvo type="num" val="0"/>
        <cfvo type="num" val="2"/>
      </iconSet>
    </cfRule>
  </conditionalFormatting>
  <conditionalFormatting sqref="X298">
    <cfRule type="iconSet" priority="7">
      <iconSet iconSet="3Flags" showValue="0">
        <cfvo type="percent" val="0"/>
        <cfvo type="num" val="0"/>
        <cfvo type="num" val="2"/>
      </iconSet>
    </cfRule>
  </conditionalFormatting>
  <conditionalFormatting sqref="I298:W299">
    <cfRule type="expression" dxfId="282" priority="6">
      <formula>$X$298=1</formula>
    </cfRule>
  </conditionalFormatting>
  <conditionalFormatting sqref="X312">
    <cfRule type="iconSet" priority="5">
      <iconSet iconSet="3Symbols" showValue="0">
        <cfvo type="percent" val="0"/>
        <cfvo type="num" val="0" gte="0"/>
        <cfvo type="num" val="2"/>
      </iconSet>
    </cfRule>
  </conditionalFormatting>
  <conditionalFormatting sqref="X647">
    <cfRule type="iconSet" priority="4">
      <iconSet iconSet="3Symbols" showValue="0">
        <cfvo type="percent" val="0"/>
        <cfvo type="num" val="0" gte="0"/>
        <cfvo type="num" val="2"/>
      </iconSet>
    </cfRule>
  </conditionalFormatting>
  <conditionalFormatting sqref="W647">
    <cfRule type="expression" dxfId="281" priority="3">
      <formula>$X647=""</formula>
    </cfRule>
  </conditionalFormatting>
  <conditionalFormatting sqref="U648">
    <cfRule type="notContainsBlanks" dxfId="280" priority="2">
      <formula>LEN(TRIM(U648))&gt;0</formula>
    </cfRule>
  </conditionalFormatting>
  <conditionalFormatting sqref="O13:P18 O20:P23">
    <cfRule type="expression" dxfId="279" priority="448">
      <formula>($P13=0)</formula>
    </cfRule>
  </conditionalFormatting>
  <conditionalFormatting sqref="X934:X938">
    <cfRule type="iconSet" priority="1">
      <iconSet iconSet="3Symbols" showValue="0">
        <cfvo type="percent" val="0"/>
        <cfvo type="num" val="0" gte="0"/>
        <cfvo type="num" val="2"/>
      </iconSet>
    </cfRule>
  </conditionalFormatting>
  <conditionalFormatting sqref="W13:X24">
    <cfRule type="expression" dxfId="278" priority="457">
      <formula>$X13=2</formula>
    </cfRule>
    <cfRule type="expression" dxfId="277" priority="458">
      <formula>($X13=0)</formula>
    </cfRule>
  </conditionalFormatting>
  <dataValidations xWindow="41" yWindow="456" count="103">
    <dataValidation type="textLength" allowBlank="1" showInputMessage="1" showErrorMessage="1" error="Maximum Number of Characters Exceeded" sqref="P32" xr:uid="{126B45D1-D97A-4E8A-A371-D95F552A3F89}">
      <formula1>N31</formula1>
      <formula2>O31</formula2>
    </dataValidation>
    <dataValidation type="textLength" allowBlank="1" showInputMessage="1" showErrorMessage="1" error="Maximum Number of Characters Exceeded" sqref="I32" xr:uid="{46037420-E9DF-4E17-AEB2-C4645C6D3295}">
      <formula1>E20</formula1>
      <formula2>F20</formula2>
    </dataValidation>
    <dataValidation type="textLength" allowBlank="1" showInputMessage="1" showErrorMessage="1" error="Maximum Number of Characters Exceeded" sqref="I30" xr:uid="{5D7840ED-F483-431C-A521-D31BEC1479D9}">
      <formula1>E19</formula1>
      <formula2>F19</formula2>
    </dataValidation>
    <dataValidation type="textLength" allowBlank="1" showInputMessage="1" showErrorMessage="1" error="Maximum Number of Characters Exceeded" sqref="I42" xr:uid="{5DFDF867-26AF-4577-87C3-D914587E298C}">
      <formula1>E38</formula1>
      <formula2>F38</formula2>
    </dataValidation>
    <dataValidation type="textLength" allowBlank="1" showInputMessage="1" showErrorMessage="1" error="Maximum Number of Characters Exceeded" sqref="I44 I46" xr:uid="{3A0EE2AC-F755-4887-A8C3-C2E3111C29B4}">
      <formula1>E39</formula1>
      <formula2>F39</formula2>
    </dataValidation>
    <dataValidation type="textLength" allowBlank="1" showInputMessage="1" showErrorMessage="1" error="Maximum Number of Characters Exceeded" sqref="O46" xr:uid="{E3FC3AB0-60A3-440B-B3D1-CD0AF22D141F}">
      <formula1>E42</formula1>
      <formula2>F42</formula2>
    </dataValidation>
    <dataValidation type="textLength" allowBlank="1" showInputMessage="1" showErrorMessage="1" error="Maximum Number of Characters Exceeded" sqref="I48" xr:uid="{8FD87598-37C0-42AD-B47B-EC6BAB450BEC}">
      <formula1>E45</formula1>
      <formula2>F45</formula2>
    </dataValidation>
    <dataValidation type="textLength" allowBlank="1" showInputMessage="1" showErrorMessage="1" error="Maximum Number of Characters Exceeded" sqref="I55" xr:uid="{5832EA5C-987D-410E-87FA-4F6CCC3865BB}">
      <formula1>E58</formula1>
      <formula2>F58</formula2>
    </dataValidation>
    <dataValidation type="textLength" allowBlank="1" showInputMessage="1" showErrorMessage="1" error="Maximum Number of Characters Exceeded" sqref="I57 I59:M59" xr:uid="{3855C6E7-1343-49DD-A306-DB4A294CCE4E}">
      <formula1>E59</formula1>
      <formula2>F59</formula2>
    </dataValidation>
    <dataValidation type="textLength" allowBlank="1" showInputMessage="1" showErrorMessage="1" error="Invalid Phone Number Entered" sqref="Q48" xr:uid="{1BF3E631-2F25-4E6E-A52F-81944C7EE417}">
      <formula1>E46</formula1>
      <formula2>F46</formula2>
    </dataValidation>
    <dataValidation type="textLength" allowBlank="1" showInputMessage="1" showErrorMessage="1" error="Maximum Number of Characters Exceeded" sqref="Q44" xr:uid="{C4C6D6ED-B4F5-4FEF-A85A-0C615C39805C}">
      <formula1>E40</formula1>
      <formula2>F40</formula2>
    </dataValidation>
    <dataValidation type="textLength" allowBlank="1" showInputMessage="1" showErrorMessage="1" error="Maximum Number of Characters Exceeded" sqref="I61" xr:uid="{7A8E0AAE-3FAB-4606-B925-DFAB90377C97}">
      <formula1>E65</formula1>
      <formula2>F65</formula2>
    </dataValidation>
    <dataValidation type="textLength" allowBlank="1" showInputMessage="1" showErrorMessage="1" error="Invalid Phone Number Entered" sqref="Q61" xr:uid="{D574C37E-C65B-483E-89B9-637095871469}">
      <formula1>E66</formula1>
      <formula2>F66</formula2>
    </dataValidation>
    <dataValidation type="textLength" allowBlank="1" showInputMessage="1" showErrorMessage="1" error="Maximum Number of Characters Exceeded" sqref="Q57" xr:uid="{97533DCB-CD2E-424D-884C-0C0B188FDFF7}">
      <formula1>E60</formula1>
      <formula2>F60</formula2>
    </dataValidation>
    <dataValidation type="whole" allowBlank="1" showInputMessage="1" showErrorMessage="1" error="Invalid Value Entered" sqref="W136" xr:uid="{CC14810F-B3F8-43EA-9A64-E5E280880801}">
      <formula1>E142</formula1>
      <formula2>F142</formula2>
    </dataValidation>
    <dataValidation type="whole" allowBlank="1" showInputMessage="1" showErrorMessage="1" error="Whole numbers only, round to nearest dollar" sqref="O538:S538" xr:uid="{939F5536-A34B-46E0-8B9D-687C294B23E6}">
      <formula1>K323</formula1>
      <formula2>L323</formula2>
    </dataValidation>
    <dataValidation type="whole" allowBlank="1" showInputMessage="1" showErrorMessage="1" error="Invalid Value Entered" sqref="W533" xr:uid="{26FD7590-2680-4F44-A4F3-C29A8D761533}">
      <formula1>E320</formula1>
      <formula2>F320</formula2>
    </dataValidation>
    <dataValidation type="whole" allowBlank="1" showInputMessage="1" showErrorMessage="1" error="Invalid Value Entered" sqref="W515" xr:uid="{D8D035A6-20DC-4C23-81FF-8E4A57847B12}">
      <formula1>E310</formula1>
      <formula2>F310</formula2>
    </dataValidation>
    <dataValidation type="whole" allowBlank="1" showInputMessage="1" showErrorMessage="1" error="Invalid Value Entered" sqref="W524" xr:uid="{81ECC00E-8A09-4871-8D6B-6BB26CC21384}">
      <formula1>E315</formula1>
      <formula2>F315</formula2>
    </dataValidation>
    <dataValidation type="whole" allowBlank="1" showInputMessage="1" showErrorMessage="1" error="Invalid Value Entered" sqref="W612" xr:uid="{A8EE755E-E497-4329-8391-1DB9C97B7992}">
      <formula1>E392</formula1>
      <formula2>F392</formula2>
    </dataValidation>
    <dataValidation type="textLength" allowBlank="1" showInputMessage="1" showErrorMessage="1" error="Maximum Number of Characters Exceeded" sqref="M656:W656" xr:uid="{BC0A1FED-8405-4F49-8C24-0E8864CD802A}">
      <formula1>$E452</formula1>
      <formula2>$F452</formula2>
    </dataValidation>
    <dataValidation type="whole" allowBlank="1" showInputMessage="1" showErrorMessage="1" error="Invalid Value Entered" sqref="W912" xr:uid="{B367F5AA-965D-4479-BC73-187D8D7B2942}">
      <formula1>$E506</formula1>
      <formula2>$F506</formula2>
    </dataValidation>
    <dataValidation type="whole" allowBlank="1" showInputMessage="1" showErrorMessage="1" error="Invalid Value Entered" sqref="W917" xr:uid="{CA211AD4-A3EC-44AB-8A55-A88CDA146D7E}">
      <formula1>$E508</formula1>
      <formula2>$F508</formula2>
    </dataValidation>
    <dataValidation type="textLength" allowBlank="1" showInputMessage="1" showErrorMessage="1" error="Maximum Number of Characters Exceeded" sqref="I866:O866" xr:uid="{870B505F-361C-4AC0-BE80-4C6BEE2DF54E}">
      <formula1>$E486</formula1>
      <formula2>$F486</formula2>
    </dataValidation>
    <dataValidation type="textLength" allowBlank="1" showInputMessage="1" showErrorMessage="1" error="Maximum Number of Characters Exceeded" sqref="Q866:W866" xr:uid="{9FFDBFC4-83D5-411C-8CEA-D61FC474DBC9}">
      <formula1>$E487</formula1>
      <formula2>$F487</formula2>
    </dataValidation>
    <dataValidation type="whole" allowBlank="1" showInputMessage="1" showErrorMessage="1" error="Whole numbers only, round to nearest dollar" sqref="Q868:W868" xr:uid="{07E7D0D5-6D6D-4F71-93F1-0C11E1197032}">
      <formula1>$E489</formula1>
      <formula2>$F489</formula2>
    </dataValidation>
    <dataValidation type="whole" allowBlank="1" showInputMessage="1" showErrorMessage="1" error="Invalid Value Entered" sqref="I887:O887" xr:uid="{612C78C8-C0BC-4E8C-B65D-2FA6AB839A57}">
      <formula1>$E494</formula1>
      <formula2>$F494</formula2>
    </dataValidation>
    <dataValidation type="textLength" allowBlank="1" showInputMessage="1" showErrorMessage="1" error="Maximum Number of Characters Exceeded" sqref="I891:O891" xr:uid="{BEAE5CFF-53E2-411B-A382-7400E2AE9DB7}">
      <formula1>$E496</formula1>
      <formula2>$F496</formula2>
    </dataValidation>
    <dataValidation type="textLength" allowBlank="1" showInputMessage="1" showErrorMessage="1" error="Maximum Number of Characters Exceeded" sqref="Q891:W891" xr:uid="{2FC50728-84E8-46C5-9F27-8F236AEE64AE}">
      <formula1>$E497</formula1>
      <formula2>$F497</formula2>
    </dataValidation>
    <dataValidation type="whole" allowBlank="1" showInputMessage="1" showErrorMessage="1" error="Whole numbers only, round to nearest dollar" sqref="Q893:W893" xr:uid="{951BFEE4-E1F6-43B6-9E35-0DA6781F10DE}">
      <formula1>$E499</formula1>
      <formula2>$F499</formula2>
    </dataValidation>
    <dataValidation type="decimal" allowBlank="1" showInputMessage="1" showErrorMessage="1" error="Invalid Entry" sqref="I587:O587 U592:W592" xr:uid="{BA4B06B8-A7F9-4EA8-AEEE-DA595D875751}">
      <formula1>$E355</formula1>
      <formula2>$F355</formula2>
    </dataValidation>
    <dataValidation type="decimal" allowBlank="1" showInputMessage="1" showErrorMessage="1" error="Invalid Entry" sqref="Q587:W587" xr:uid="{A86CBE5F-125C-4300-A6F1-EF4DD1F13EEB}">
      <formula1>$E356</formula1>
      <formula2>$F356</formula2>
    </dataValidation>
    <dataValidation type="decimal" allowBlank="1" showInputMessage="1" showErrorMessage="1" error="Invalid Entry" sqref="U594:W594" xr:uid="{73F74FB0-4138-4FF6-BF82-1529B7D30A4E}">
      <formula1>$E368</formula1>
      <formula2>$F368</formula2>
    </dataValidation>
    <dataValidation type="whole" allowBlank="1" showInputMessage="1" showErrorMessage="1" error="Invalid Value Entered" sqref="W752" xr:uid="{CE86DABB-35CA-48AC-9462-211702A06CDA}">
      <formula1>$E528</formula1>
      <formula2>$F528</formula2>
    </dataValidation>
    <dataValidation type="whole" allowBlank="1" showInputMessage="1" showErrorMessage="1" error="Invalid Value Entered" sqref="W768" xr:uid="{B526AA28-899B-48F7-B2B6-5547B0B94611}">
      <formula1>$E530</formula1>
      <formula2>$F530</formula2>
    </dataValidation>
    <dataValidation type="decimal" allowBlank="1" showInputMessage="1" showErrorMessage="1" error="Invalid Entry" sqref="U593:W593" xr:uid="{0E922137-EED1-4FAC-B75A-4D745C4FFFCD}">
      <formula1>$E364</formula1>
      <formula2>$F364</formula2>
    </dataValidation>
    <dataValidation type="textLength" allowBlank="1" showInputMessage="1" showErrorMessage="1" error="Maximum Number of Characters Exceeded" sqref="Q32:U32" xr:uid="{8D7053A3-90ED-4F36-BA28-FFA430F40F22}">
      <formula1>E21</formula1>
      <formula2>F21</formula2>
    </dataValidation>
    <dataValidation type="list" allowBlank="1" showInputMessage="1" showErrorMessage="1" error="Select 'Yes' or 'No'" sqref="W903 W701 W696 W692 W688 W684 W895 W878 W870 W99 W97 W95 W103 W119:W123 W254:W256 W247 W135 W146 W583 W111:W112 W545:W550 W261:W263 W279 W274:W277 W281 W283 W285 W569 W161 W163 W166 W168 W170 W140 W142 W144 W312 W187 W193 W189 W191 W302 W182:W183 W185" xr:uid="{46F9B1C9-64B7-4F8E-A4E4-392E37871232}">
      <formula1>RANGE_LOOKUP_YESNO</formula1>
    </dataValidation>
    <dataValidation type="date" operator="greaterThanOrEqual" allowBlank="1" showInputMessage="1" showErrorMessage="1" error="Please enter a valid date" sqref="V914:W914 V919:W919 V536:W536" xr:uid="{CBD96AF4-6BAF-4645-B17E-2DF87DDACE95}">
      <formula1>1</formula1>
    </dataValidation>
    <dataValidation type="date" operator="greaterThanOrEqual" allowBlank="1" showInputMessage="1" showErrorMessage="1" error="Enter a valid date" sqref="U919 I893 I868 U914 Q536:S536 U536" xr:uid="{F5A64FF2-A450-478B-9C90-A6057C5B38E9}">
      <formula1>1</formula1>
    </dataValidation>
    <dataValidation type="list" allowBlank="1" showInputMessage="1" showErrorMessage="1" error="Select a value" sqref="Q887:W887" xr:uid="{C26E6D80-3305-4509-B61B-828B42827320}">
      <formula1>LOOKUP_PARTCONTROL_SUPPORTINGDOCS</formula1>
    </dataValidation>
    <dataValidation type="list" allowBlank="1" showInputMessage="1" showErrorMessage="1" error="Select a value" sqref="Q862:W862" xr:uid="{70E7D887-F621-418A-BEDF-7B312A007D42}">
      <formula1>LOOKUP_FULLCONTROL_SUPPORTINGDOCS</formula1>
    </dataValidation>
    <dataValidation type="whole" allowBlank="1" showInputMessage="1" showErrorMessage="1" error="Invalid Value Entered" sqref="I656:K656" xr:uid="{A67A888E-7566-401D-AD64-51CF5B01A411}">
      <formula1>$E$451</formula1>
      <formula2>$F$451</formula2>
    </dataValidation>
    <dataValidation allowBlank="1" showInputMessage="1" showErrorMessage="1" error="Maximum Number of Characters Exceeded" promptTitle="Tips" prompt="(1) To edit content already in this field, Double-Click to place the cursor at a specific location_x000a__x000a_(2) Press Alt+Enter to insert a new line" sqref="I618:W626 I196:W199 I324:W332 I316:W321 I287:W289 I265:W267 I232:W240 I219:W227 I204:W215 I129:W131 I114:W117 I175 I764 I784 I810 I150:W153" xr:uid="{6EA9CEE6-686A-405A-9811-E75B7CCE8C10}"/>
    <dataValidation type="list" allowBlank="1" showInputMessage="1" showErrorMessage="1" error="Select a value" sqref="O599:W599" xr:uid="{79C76168-7803-4FC4-9E81-6762AB027E91}">
      <formula1>LOOKUP_DEVELOPER_FEE</formula1>
    </dataValidation>
    <dataValidation type="textLength" allowBlank="1" showInputMessage="1" showErrorMessage="1" error="Exceeds Allowable Character Length" sqref="I592:I593" xr:uid="{D5DFD4A9-D42C-4E56-A2DF-F1387A7CBEAE}">
      <formula1>$E$361</formula1>
      <formula2>$F$361</formula2>
    </dataValidation>
    <dataValidation type="textLength" allowBlank="1" showInputMessage="1" showErrorMessage="1" error="Exceeds Allowable Character Length" sqref="I594" xr:uid="{D226C2AD-CE42-4A4F-AAA9-7349080BBEEF}">
      <formula1>$E$365</formula1>
      <formula2>$F$365</formula2>
    </dataValidation>
    <dataValidation type="list" allowBlank="1" showInputMessage="1" showErrorMessage="1" error="Select a value" sqref="Q592:Q594" xr:uid="{EACF7FD3-90CD-4E94-8C97-AE8C68C56071}">
      <formula1>LOOKUP_GP_ORGTYPE</formula1>
    </dataValidation>
    <dataValidation type="list" allowBlank="1" showInputMessage="1" showErrorMessage="1" error="Select a value" sqref="I581" xr:uid="{00B097B0-9ACB-432D-939E-42C56423DCC0}">
      <formula1>LOOKUP_SPONSOR_OWNERSHIP_BRACKET</formula1>
    </dataValidation>
    <dataValidation type="list" allowBlank="1" showInputMessage="1" showErrorMessage="1" error="Select a value" sqref="Q566:W566" xr:uid="{61F056BF-F3FA-4AD3-BC4C-CB444817558A}">
      <formula1>RANGE_LOOKUP_SPONSTYPE</formula1>
    </dataValidation>
    <dataValidation type="whole" allowBlank="1" showInputMessage="1" showErrorMessage="1" error="Invalid Value Entered" sqref="I483:K483" xr:uid="{140C51F9-32B4-49CD-90D4-14B273BE33EF}">
      <formula1>$E$265</formula1>
      <formula2>$F$265</formula2>
    </dataValidation>
    <dataValidation type="whole" allowBlank="1" showInputMessage="1" showErrorMessage="1" error="Invalid Value Entered" sqref="I493:K493" xr:uid="{D6B70248-6E6E-474D-AE83-1FCAA26AAB98}">
      <formula1>$E$293</formula1>
      <formula2>$F$293</formula2>
    </dataValidation>
    <dataValidation type="whole" allowBlank="1" showInputMessage="1" showErrorMessage="1" error="Invalid Value Entered" sqref="I487:K487" xr:uid="{652F6011-3BCC-4589-B67B-C1BD4BEB360F}">
      <formula1>$E$266</formula1>
      <formula2>$F$266</formula2>
    </dataValidation>
    <dataValidation type="list" allowBlank="1" showInputMessage="1" showErrorMessage="1" error="Select a value" sqref="U245:W245" xr:uid="{B947080A-1CF6-44D8-BBF7-67DCB8872516}">
      <formula1>LOOKUP_DISBURSEMENTPHASE</formula1>
    </dataValidation>
    <dataValidation type="list" allowBlank="1" showInputMessage="1" showErrorMessage="1" error="Select a value" sqref="U246:W246" xr:uid="{33064171-C63C-4474-A11B-A53F6131B0BC}">
      <formula1>LOOKUP_CONSTRUCTIONTIMING</formula1>
    </dataValidation>
    <dataValidation type="list" allowBlank="1" showInputMessage="1" showErrorMessage="1" error="Select a value" sqref="U110:W110" xr:uid="{C4FC3321-0403-4499-823E-4B845D275DF5}">
      <formula1>LOOKUP_PROJFAMILYSIZETYPE</formula1>
    </dataValidation>
    <dataValidation type="whole" operator="lessThanOrEqual" allowBlank="1" showInputMessage="1" showErrorMessage="1" sqref="K335:L344 K459:L468 K447:L456 K404:L413 K392:L401 K347:L356" xr:uid="{C4338E5C-172A-446D-B387-9739E6B17E5F}">
      <formula1>9999</formula1>
    </dataValidation>
    <dataValidation type="whole" operator="greaterThanOrEqual" allowBlank="1" showInputMessage="1" showErrorMessage="1" sqref="Q335:R344 Q459:R468 Q447:R456 Q404:R413 Q392:R401 Q347:R356" xr:uid="{B20366D7-253E-4484-9E55-230D07E4FC4B}">
      <formula1>0</formula1>
    </dataValidation>
    <dataValidation type="list" allowBlank="1" showInputMessage="1" showErrorMessage="1" sqref="O335:P344 O459:P468 O447:P456 O404:P413 O392:P401 O347:P356" xr:uid="{BCFF8196-9C36-4C80-8696-AD0C78064526}">
      <formula1>LOOKUP_PROJECTTYPE_DROPDOWN</formula1>
    </dataValidation>
    <dataValidation type="whole" allowBlank="1" showInputMessage="1" showErrorMessage="1" error="Invalid Zip Code Entered" sqref="U59 I34 U46" xr:uid="{1A6EF16D-ACCD-4C90-BEA3-29F3801C6443}">
      <formula1>1</formula1>
      <formula2>99999</formula2>
    </dataValidation>
    <dataValidation type="whole" allowBlank="1" showInputMessage="1" showErrorMessage="1" error="Invalid Zip+4 Entered" sqref="W59 K34 W46" xr:uid="{51CCEE4C-FB4A-456A-9DD0-055E468FACD1}">
      <formula1>1</formula1>
      <formula2>9999</formula2>
    </dataValidation>
    <dataValidation type="list" allowBlank="1" showInputMessage="1" showErrorMessage="1" error="Invalid State Code" sqref="S59 S46" xr:uid="{4FFBE097-E329-4453-9E51-667EA040D265}">
      <formula1>"AZ,CA,NV,AK,AL,AR,CO,CT,DC,DE,FL,GA,GU,HI,IA,ID,IL,IN,KS,KY,LA,MA,MD,ME,MI,MN,MO,MS,MT,NC,ND,NE,NH,NJ,NM,NY,OH,OK,OR,PA,PR,RI,SC,SD,TN,TX,UT,VA,VI,VT,WA,WI,WV,WY"</formula1>
    </dataValidation>
    <dataValidation type="list" allowBlank="1" showInputMessage="1" showErrorMessage="1" error="Invalid County" sqref="Q34" xr:uid="{3A2DA362-1B60-454C-91AF-374CD0DA0F2E}">
      <formula1>IF($W$32&lt;&gt;"",INDIRECT("COUNTY_RANGE_"&amp;$W$32),INDIRECT("RANGE_LOOKUP_COUNTY_PLACEHOLDER"))</formula1>
    </dataValidation>
    <dataValidation type="custom" allowBlank="1" showInputMessage="1" showErrorMessage="1" error="Invalid Census Tract Entered" sqref="M34" xr:uid="{988B5AE9-157E-4D36-AF92-D22353A627DD}">
      <formula1>AND(ISNUMBER(TRIM(M34)*1),LEN(M34)=4,IFERROR(SEARCH(".",M34),0)=0)</formula1>
    </dataValidation>
    <dataValidation type="custom" allowBlank="1" showInputMessage="1" showErrorMessage="1" error="Invalid Census Tract Entered" sqref="O34" xr:uid="{3EB8D97B-0F68-462C-A366-69CBCD2CE493}">
      <formula1>AND(ISNUMBER(TRIM(O34)*1),LEN(O34)=2,IFERROR(SEARCH(".",O34),0)=0)</formula1>
    </dataValidation>
    <dataValidation type="list" showInputMessage="1" showErrorMessage="1" error="Invalid state code selected OR clear selected County before changing state" sqref="W32" xr:uid="{3061563A-C4F5-4BF7-B77A-80F79E24FF37}">
      <formula1>IF($Q$34="",RANGE_LOOKUP_STATE,INDIRECT("RANGE_FAKE"))</formula1>
    </dataValidation>
    <dataValidation type="custom" showInputMessage="1" showErrorMessage="1" errorTitle="No Data Entry" error="Field is Read-Only" sqref="H11" xr:uid="{AC4AD727-7E95-46CB-8722-A11050DA02DA}">
      <formula1>"&lt;0&gt;0"</formula1>
    </dataValidation>
    <dataValidation type="date" operator="greaterThanOrEqual" allowBlank="1" showInputMessage="1" showErrorMessage="1" sqref="U250:W251" xr:uid="{34DDE807-2361-4B00-869B-DF8F667EE45C}">
      <formula1>1</formula1>
    </dataValidation>
    <dataValidation type="whole" allowBlank="1" showInputMessage="1" showErrorMessage="1" error="Invalid Value Entered" sqref="W647" xr:uid="{3C8DE451-0269-4CF3-A212-20EA5EE464F5}">
      <formula1>E553</formula1>
      <formula2>F553</formula2>
    </dataValidation>
    <dataValidation type="textLength" allowBlank="1" showInputMessage="1" showErrorMessage="1" error="Maximum Number of Characters Exceeded" sqref="O59:Q59" xr:uid="{483C4248-90EC-4059-9511-B3E1EEEC37C9}">
      <formula1>E62</formula1>
      <formula2>F62</formula2>
    </dataValidation>
    <dataValidation type="whole" allowBlank="1" showInputMessage="1" showErrorMessage="1" error="Must be greater than 0 and less (or equal to) than Subsidy Cap; whole numbers only, round to nearest dollar" sqref="I69:K69" xr:uid="{699F02D9-9FB4-4588-9782-7C9E822842D4}">
      <formula1>E78</formula1>
      <formula2>F78</formula2>
    </dataValidation>
    <dataValidation type="whole" allowBlank="1" showInputMessage="1" showErrorMessage="1" error="Whole numbers only, round to nearest dollar" sqref="I73:K73" xr:uid="{4E04B584-1006-4ED0-A077-5DDC12262DD0}">
      <formula1>E79</formula1>
      <formula2>F79</formula2>
    </dataValidation>
    <dataValidation type="textLength" allowBlank="1" showInputMessage="1" showErrorMessage="1" error="Maximum Number of Characters Exceeded" sqref="U73:W73" xr:uid="{3EB3B863-3E89-45EA-9945-362D8C449CBD}">
      <formula1>E81</formula1>
      <formula2>F81</formula2>
    </dataValidation>
    <dataValidation type="textLength" allowBlank="1" showInputMessage="1" showErrorMessage="1" error="Maximum Number of Characters Exceeded" sqref="M73:S73" xr:uid="{D6CE9E04-3278-4AB8-A7D4-5049E37B25F6}">
      <formula1>E80</formula1>
      <formula2>F80</formula2>
    </dataValidation>
    <dataValidation type="decimal" allowBlank="1" showInputMessage="1" showErrorMessage="1" error="Invalid Value Entered" sqref="S79:W79" xr:uid="{23E53731-1CFC-40B1-90A7-D4D36D8BA33F}">
      <formula1>E84</formula1>
      <formula2>F84</formula2>
    </dataValidation>
    <dataValidation type="textLength" allowBlank="1" showInputMessage="1" showErrorMessage="1" error="Maximum Number of Characters Exceeded" sqref="M79:Q79" xr:uid="{CDF579C1-E73A-403C-B126-1E5FE53783FF}">
      <formula1>E83</formula1>
      <formula2>F83</formula2>
    </dataValidation>
    <dataValidation type="whole" allowBlank="1" showInputMessage="1" showErrorMessage="1" error="Whole numbers only, round to nearest dollar" sqref="I79:K79" xr:uid="{3835A546-2658-4882-9040-0C13E10512AA}">
      <formula1>E82</formula1>
      <formula2>F82</formula2>
    </dataValidation>
    <dataValidation type="textLength" allowBlank="1" showInputMessage="1" showErrorMessage="1" error="Maximum Number of Characters Exceeded" sqref="I88:Q88" xr:uid="{192AC34B-EFCB-4B74-AADF-F0B6A7526FFE}">
      <formula1>E97</formula1>
      <formula2>F97</formula2>
    </dataValidation>
    <dataValidation type="whole" allowBlank="1" showInputMessage="1" showErrorMessage="1" error="Whole numbers only, round to nearest dollar" sqref="S88:W88" xr:uid="{2714C9BD-04E9-443A-A1F7-943C84C580C4}">
      <formula1>E96</formula1>
      <formula2>F96</formula2>
    </dataValidation>
    <dataValidation type="textLength" allowBlank="1" showInputMessage="1" showErrorMessage="1" error="Maximum Number of Characters Exceeded" sqref="S100:W101" xr:uid="{837A330C-623E-40ED-B5B0-909EDB69CB89}">
      <formula1>E112</formula1>
      <formula2>F112</formula2>
    </dataValidation>
    <dataValidation type="whole" allowBlank="1" showInputMessage="1" showErrorMessage="1" error="Invalid value entered" sqref="I127:M127" xr:uid="{7D11B810-A6D4-4EDF-94DD-2743A894EE2F}">
      <formula1>E137</formula1>
      <formula2>F137</formula2>
    </dataValidation>
    <dataValidation type="whole" allowBlank="1" showInputMessage="1" showErrorMessage="1" error="Invalid Value Entered" sqref="O127:Q127" xr:uid="{2FDD81B1-B7C7-4A2C-ABF9-4234D9B2BBCD}">
      <formula1>E138</formula1>
      <formula2>F138</formula2>
    </dataValidation>
    <dataValidation type="decimal" allowBlank="1" showInputMessage="1" showErrorMessage="1" error="Invalid Value Entered" sqref="S127:W127" xr:uid="{7A7A4EFB-CD99-454C-8CC6-A54B671C6301}">
      <formula1>E139</formula1>
      <formula2>F139</formula2>
    </dataValidation>
    <dataValidation type="textLength" allowBlank="1" showInputMessage="1" showErrorMessage="1" error="Maximum Number of Characters Exceeded" sqref="I296:W296" xr:uid="{78EA9D6F-25AC-4A45-9EB6-CA3C76E37E48}">
      <formula1>E220</formula1>
      <formula2>F220</formula2>
    </dataValidation>
    <dataValidation type="textLength" allowBlank="1" showInputMessage="1" showErrorMessage="1" error="Maximum Number of Characters Exceeded" sqref="I370:W370" xr:uid="{7F2AE182-F7AD-49CA-987F-4A044B904B44}">
      <formula1>E240</formula1>
      <formula2>F240</formula2>
    </dataValidation>
    <dataValidation type="textLength" allowBlank="1" showInputMessage="1" showErrorMessage="1" error="Maximum Number of Characters Exceeded" sqref="I372:W372" xr:uid="{AE97D7B8-B755-4BD4-B001-3260157ACF49}">
      <formula1>E241</formula1>
      <formula2>F241</formula2>
    </dataValidation>
    <dataValidation type="textLength" allowBlank="1" showInputMessage="1" showErrorMessage="1" error="Maximum Number of Characters Exceeded" sqref="I425:W425" xr:uid="{B513E5BB-5F0F-453D-A6ED-655A395837F5}">
      <formula1>E247</formula1>
      <formula2>F247</formula2>
    </dataValidation>
    <dataValidation type="textLength" allowBlank="1" showInputMessage="1" showErrorMessage="1" error="Maximum Number of Characters Exceeded" sqref="I427:W427" xr:uid="{6243BAB7-5877-43A7-B783-C304392939FD}">
      <formula1>E248</formula1>
      <formula2>F248</formula2>
    </dataValidation>
    <dataValidation type="whole" allowBlank="1" showInputMessage="1" showErrorMessage="1" error="Invalid Value Entered" sqref="Q484:S493" xr:uid="{0226A6C0-E5B3-48E0-BDDF-8896111BD747}">
      <formula1>E267</formula1>
      <formula2>F267</formula2>
    </dataValidation>
    <dataValidation type="custom" allowBlank="1" showInputMessage="1" showErrorMessage="1" error="Target AMIs in this table must be whole values and may not exceed 80%.  When clicking ‘Retry’ and entering in a valid value, include the ‘%’ sign." sqref="U484:W495" xr:uid="{9C13175C-45E1-47C1-9C98-499C2CF1F3D3}">
      <formula1>AND(U484&lt;=F279,TRUNC(U484,2)=U484)</formula1>
    </dataValidation>
    <dataValidation type="whole" allowBlank="1" showInputMessage="1" showErrorMessage="1" error="Whole numbers only, round to nearest dollar" sqref="I538:M538" xr:uid="{873163BB-47FE-4844-A634-7810F98DC9CE}">
      <formula1>E324</formula1>
      <formula2>F324</formula2>
    </dataValidation>
    <dataValidation type="textLength" allowBlank="1" showInputMessage="1" showErrorMessage="1" error="Maximum Number of Characters Exceeded" sqref="I529:Q529" xr:uid="{782340C8-5F12-4923-99AA-C20B1107A95A}">
      <formula1>E317</formula1>
      <formula2>F317</formula2>
    </dataValidation>
    <dataValidation type="whole" allowBlank="1" showInputMessage="1" showErrorMessage="1" error="Whole numbers only, round to nearest dollar" sqref="S529:W529" xr:uid="{7DF56A51-37F2-4728-8560-A7AEC2AFF730}">
      <formula1>E318</formula1>
      <formula2>F318</formula2>
    </dataValidation>
    <dataValidation type="textLength" allowBlank="1" showInputMessage="1" showErrorMessage="1" error="Maximum Number of Characters Exceeded" sqref="I518:Q518" xr:uid="{ACD3BE8E-7BC0-420B-A6DC-3D6686646B75}">
      <formula1>E311</formula1>
      <formula2>F311</formula2>
    </dataValidation>
    <dataValidation type="whole" allowBlank="1" showInputMessage="1" showErrorMessage="1" error="Whole numbers only, round to nearest dollar" sqref="S518:W518" xr:uid="{E468683A-809A-4FA3-8E51-B44BC6F30624}">
      <formula1>E314</formula1>
      <formula2>F314</formula2>
    </dataValidation>
    <dataValidation type="textLength" allowBlank="1" showInputMessage="1" showErrorMessage="1" error="Maximum Number of Characters Exceeded" sqref="I520:Q520" xr:uid="{77BD016B-D584-4B49-9E62-9227B1DD2A49}">
      <formula1>E312</formula1>
      <formula2>F312</formula2>
    </dataValidation>
    <dataValidation type="whole" allowBlank="1" showInputMessage="1" showErrorMessage="1" error="Whole numbers only, round to nearest dollar" sqref="S520:W520" xr:uid="{9F4B12B5-F5B1-4095-93FB-8FD9769E6B3D}">
      <formula1>E313</formula1>
      <formula2>F313</formula2>
    </dataValidation>
    <dataValidation type="textLength" allowBlank="1" showInputMessage="1" showErrorMessage="1" error="Maximum Number of Characters Exceeded" sqref="I536:O536" xr:uid="{FA86CD43-6E6A-4AE4-9B46-D6800743BAB2}">
      <formula1>E321</formula1>
      <formula2>F321</formula2>
    </dataValidation>
    <dataValidation type="textLength" allowBlank="1" showInputMessage="1" showErrorMessage="1" error="Maximum Number of Characters Exceeded" sqref="I527:Q527" xr:uid="{4EE5B24D-C7A2-4864-BE75-38844D91C5BE}">
      <formula1>E316</formula1>
      <formula2>F316</formula2>
    </dataValidation>
    <dataValidation type="whole" allowBlank="1" showInputMessage="1" showErrorMessage="1" error="Whole numbers only, round to nearest dollar" sqref="S527:W527" xr:uid="{19AD3997-20CA-4150-91A5-7DB74A80BC6F}">
      <formula1>E319</formula1>
      <formula2>F319</formula2>
    </dataValidation>
    <dataValidation type="whole" allowBlank="1" showInputMessage="1" showErrorMessage="1" error="Invalid Value Entered" sqref="Q494:S495" xr:uid="{61705C27-5F6F-4150-B1BF-A491578AD4CD}">
      <formula1>E334</formula1>
      <formula2>F334</formula2>
    </dataValidation>
    <dataValidation type="whole" allowBlank="1" showInputMessage="1" showErrorMessage="1" error="Invalid Value Entered" sqref="T634:W638" xr:uid="{0D070809-5040-4057-BCC0-1EA070E59590}">
      <formula1>E430</formula1>
      <formula2>F430</formula2>
    </dataValidation>
    <dataValidation type="whole" allowBlank="1" showInputMessage="1" showErrorMessage="1" error="Invalid Value Entered" sqref="I862:O862" xr:uid="{B4B8B79C-7304-4B65-809D-128108CDC250}">
      <formula1>E484</formula1>
      <formula2>F484</formula2>
    </dataValidation>
  </dataValidations>
  <printOptions horizontalCentered="1"/>
  <pageMargins left="0.25" right="0.25" top="0.5" bottom="0.5" header="0.3" footer="0.3"/>
  <pageSetup fitToHeight="0" orientation="portrait" r:id="rId1"/>
  <headerFooter>
    <oddFooter>&amp;R&amp;8&amp;P of &amp;N&amp;L&amp;"Calibri"&amp;11&amp;K000000&amp;8Affordable Housing Program Application_x000D_&amp;1#&amp;"Calibri"&amp;9&amp;K0000FFFHLBank San Francisco | Internal</oddFooter>
  </headerFooter>
  <rowBreaks count="34" manualBreakCount="34">
    <brk id="38" min="7" max="24" man="1"/>
    <brk id="70" min="7" max="24" man="1"/>
    <brk id="105" min="7" max="24" man="1"/>
    <brk id="137" min="7" max="24" man="1"/>
    <brk id="171" min="7" max="24" man="1"/>
    <brk id="200" min="7" max="24" man="1"/>
    <brk id="228" min="7" max="24" man="1"/>
    <brk id="257" min="7" max="24" man="1"/>
    <brk id="290" min="7" max="24" man="1"/>
    <brk id="321" min="7" max="24" man="1"/>
    <brk id="344" min="7" max="24" man="1"/>
    <brk id="365" min="7" max="24" man="1"/>
    <brk id="389" min="7" max="24" man="1"/>
    <brk id="401" min="7" max="24" man="1"/>
    <brk id="422" min="7" max="24" man="1"/>
    <brk id="444" min="7" max="24" man="1"/>
    <brk id="456" min="7" max="24" man="1"/>
    <brk id="477" min="7" max="24" man="1"/>
    <brk id="499" min="7" max="24" man="1"/>
    <brk id="530" min="7" max="24" man="1"/>
    <brk id="551" min="7" max="24" man="1"/>
    <brk id="581" min="7" max="24" man="1"/>
    <brk id="603" min="7" max="24" man="1"/>
    <brk id="649" min="7" max="24" man="1"/>
    <brk id="681" min="7" max="24" man="1"/>
    <brk id="704" min="7" max="24" man="1"/>
    <brk id="735" min="7" max="24" man="1"/>
    <brk id="766" min="7" max="24" man="1"/>
    <brk id="787" min="7" max="24" man="1"/>
    <brk id="813" min="7" max="24" man="1"/>
    <brk id="849" min="7" max="24" man="1"/>
    <brk id="884" min="7" max="24" man="1"/>
    <brk id="909" min="7" max="24" man="1"/>
    <brk id="939" min="7"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5" r:id="rId4" name="OTHER_DISTRICT_ATLANTA">
              <controlPr defaultSize="0" autoFill="0" autoLine="0" autoPict="0">
                <anchor moveWithCells="1">
                  <from>
                    <xdr:col>8</xdr:col>
                    <xdr:colOff>19050</xdr:colOff>
                    <xdr:row>84</xdr:row>
                    <xdr:rowOff>28575</xdr:rowOff>
                  </from>
                  <to>
                    <xdr:col>8</xdr:col>
                    <xdr:colOff>638175</xdr:colOff>
                    <xdr:row>84</xdr:row>
                    <xdr:rowOff>247650</xdr:rowOff>
                  </to>
                </anchor>
              </controlPr>
            </control>
          </mc:Choice>
        </mc:AlternateContent>
        <mc:AlternateContent xmlns:mc="http://schemas.openxmlformats.org/markup-compatibility/2006">
          <mc:Choice Requires="x14">
            <control shapeId="20489" r:id="rId5" name="OTHER_DISTRICT_CINCINNATI">
              <controlPr defaultSize="0" autoFill="0" autoLine="0" autoPict="0">
                <anchor moveWithCells="1">
                  <from>
                    <xdr:col>18</xdr:col>
                    <xdr:colOff>409575</xdr:colOff>
                    <xdr:row>84</xdr:row>
                    <xdr:rowOff>28575</xdr:rowOff>
                  </from>
                  <to>
                    <xdr:col>20</xdr:col>
                    <xdr:colOff>285750</xdr:colOff>
                    <xdr:row>84</xdr:row>
                    <xdr:rowOff>247650</xdr:rowOff>
                  </to>
                </anchor>
              </controlPr>
            </control>
          </mc:Choice>
        </mc:AlternateContent>
        <mc:AlternateContent xmlns:mc="http://schemas.openxmlformats.org/markup-compatibility/2006">
          <mc:Choice Requires="x14">
            <control shapeId="20490" r:id="rId6" name="OTHER_DISTRICT_DALLAS">
              <controlPr defaultSize="0" autoFill="0" autoLine="0" autoPict="0">
                <anchor moveWithCells="1">
                  <from>
                    <xdr:col>22</xdr:col>
                    <xdr:colOff>28575</xdr:colOff>
                    <xdr:row>84</xdr:row>
                    <xdr:rowOff>28575</xdr:rowOff>
                  </from>
                  <to>
                    <xdr:col>22</xdr:col>
                    <xdr:colOff>647700</xdr:colOff>
                    <xdr:row>84</xdr:row>
                    <xdr:rowOff>247650</xdr:rowOff>
                  </to>
                </anchor>
              </controlPr>
            </control>
          </mc:Choice>
        </mc:AlternateContent>
        <mc:AlternateContent xmlns:mc="http://schemas.openxmlformats.org/markup-compatibility/2006">
          <mc:Choice Requires="x14">
            <control shapeId="20491" r:id="rId7" name="Check Box 11">
              <controlPr defaultSize="0" autoFill="0" autoLine="0" autoPict="0">
                <anchor moveWithCells="1">
                  <from>
                    <xdr:col>14</xdr:col>
                    <xdr:colOff>495300</xdr:colOff>
                    <xdr:row>85</xdr:row>
                    <xdr:rowOff>38100</xdr:rowOff>
                  </from>
                  <to>
                    <xdr:col>16</xdr:col>
                    <xdr:colOff>390525</xdr:colOff>
                    <xdr:row>85</xdr:row>
                    <xdr:rowOff>257175</xdr:rowOff>
                  </to>
                </anchor>
              </controlPr>
            </control>
          </mc:Choice>
        </mc:AlternateContent>
        <mc:AlternateContent xmlns:mc="http://schemas.openxmlformats.org/markup-compatibility/2006">
          <mc:Choice Requires="x14">
            <control shapeId="20492" r:id="rId8" name="OTHER_DISTRICT_PITTSBURGH">
              <controlPr defaultSize="0" autoFill="0" autoLine="0" autoPict="0">
                <anchor moveWithCells="1">
                  <from>
                    <xdr:col>18</xdr:col>
                    <xdr:colOff>409575</xdr:colOff>
                    <xdr:row>85</xdr:row>
                    <xdr:rowOff>38100</xdr:rowOff>
                  </from>
                  <to>
                    <xdr:col>20</xdr:col>
                    <xdr:colOff>295275</xdr:colOff>
                    <xdr:row>85</xdr:row>
                    <xdr:rowOff>257175</xdr:rowOff>
                  </to>
                </anchor>
              </controlPr>
            </control>
          </mc:Choice>
        </mc:AlternateContent>
        <mc:AlternateContent xmlns:mc="http://schemas.openxmlformats.org/markup-compatibility/2006">
          <mc:Choice Requires="x14">
            <control shapeId="20493" r:id="rId9" name="Check Box 13">
              <controlPr defaultSize="0" autoFill="0" autoLine="0" autoPict="0">
                <anchor moveWithCells="1">
                  <from>
                    <xdr:col>22</xdr:col>
                    <xdr:colOff>28575</xdr:colOff>
                    <xdr:row>85</xdr:row>
                    <xdr:rowOff>38100</xdr:rowOff>
                  </from>
                  <to>
                    <xdr:col>22</xdr:col>
                    <xdr:colOff>647700</xdr:colOff>
                    <xdr:row>85</xdr:row>
                    <xdr:rowOff>257175</xdr:rowOff>
                  </to>
                </anchor>
              </controlPr>
            </control>
          </mc:Choice>
        </mc:AlternateContent>
        <mc:AlternateContent xmlns:mc="http://schemas.openxmlformats.org/markup-compatibility/2006">
          <mc:Choice Requires="x14">
            <control shapeId="20494" r:id="rId10" name="OTHER_DISTRICT_BOSTON">
              <controlPr defaultSize="0" autoFill="0" autoLine="0" autoPict="0">
                <anchor moveWithCells="1">
                  <from>
                    <xdr:col>10</xdr:col>
                    <xdr:colOff>504825</xdr:colOff>
                    <xdr:row>84</xdr:row>
                    <xdr:rowOff>28575</xdr:rowOff>
                  </from>
                  <to>
                    <xdr:col>12</xdr:col>
                    <xdr:colOff>228600</xdr:colOff>
                    <xdr:row>84</xdr:row>
                    <xdr:rowOff>247650</xdr:rowOff>
                  </to>
                </anchor>
              </controlPr>
            </control>
          </mc:Choice>
        </mc:AlternateContent>
        <mc:AlternateContent xmlns:mc="http://schemas.openxmlformats.org/markup-compatibility/2006">
          <mc:Choice Requires="x14">
            <control shapeId="20495" r:id="rId11" name="OTHER_DISTRICT_CHICAGO">
              <controlPr defaultSize="0" autoFill="0" autoLine="0" autoPict="0">
                <anchor moveWithCells="1">
                  <from>
                    <xdr:col>14</xdr:col>
                    <xdr:colOff>495300</xdr:colOff>
                    <xdr:row>84</xdr:row>
                    <xdr:rowOff>28575</xdr:rowOff>
                  </from>
                  <to>
                    <xdr:col>16</xdr:col>
                    <xdr:colOff>219075</xdr:colOff>
                    <xdr:row>84</xdr:row>
                    <xdr:rowOff>247650</xdr:rowOff>
                  </to>
                </anchor>
              </controlPr>
            </control>
          </mc:Choice>
        </mc:AlternateContent>
        <mc:AlternateContent xmlns:mc="http://schemas.openxmlformats.org/markup-compatibility/2006">
          <mc:Choice Requires="x14">
            <control shapeId="20496" r:id="rId12" name="OTHER_DISTRICT_DESMOINES">
              <controlPr defaultSize="0" autoFill="0" autoLine="0" autoPict="0">
                <anchor moveWithCells="1">
                  <from>
                    <xdr:col>8</xdr:col>
                    <xdr:colOff>19050</xdr:colOff>
                    <xdr:row>85</xdr:row>
                    <xdr:rowOff>38100</xdr:rowOff>
                  </from>
                  <to>
                    <xdr:col>9</xdr:col>
                    <xdr:colOff>104775</xdr:colOff>
                    <xdr:row>85</xdr:row>
                    <xdr:rowOff>257175</xdr:rowOff>
                  </to>
                </anchor>
              </controlPr>
            </control>
          </mc:Choice>
        </mc:AlternateContent>
        <mc:AlternateContent xmlns:mc="http://schemas.openxmlformats.org/markup-compatibility/2006">
          <mc:Choice Requires="x14">
            <control shapeId="20497" r:id="rId13" name="Check Box 17">
              <controlPr defaultSize="0" autoFill="0" autoLine="0" autoPict="0">
                <anchor moveWithCells="1">
                  <from>
                    <xdr:col>10</xdr:col>
                    <xdr:colOff>504825</xdr:colOff>
                    <xdr:row>85</xdr:row>
                    <xdr:rowOff>38100</xdr:rowOff>
                  </from>
                  <to>
                    <xdr:col>12</xdr:col>
                    <xdr:colOff>495300</xdr:colOff>
                    <xdr:row>85</xdr:row>
                    <xdr:rowOff>257175</xdr:rowOff>
                  </to>
                </anchor>
              </controlPr>
            </control>
          </mc:Choice>
        </mc:AlternateContent>
        <mc:AlternateContent xmlns:mc="http://schemas.openxmlformats.org/markup-compatibility/2006">
          <mc:Choice Requires="x14">
            <control shapeId="20510" r:id="rId14" name="Option Button 30">
              <controlPr defaultSize="0" autoFill="0" autoLine="0" autoPict="0">
                <anchor moveWithCells="1">
                  <from>
                    <xdr:col>8</xdr:col>
                    <xdr:colOff>47625</xdr:colOff>
                    <xdr:row>716</xdr:row>
                    <xdr:rowOff>19050</xdr:rowOff>
                  </from>
                  <to>
                    <xdr:col>22</xdr:col>
                    <xdr:colOff>685800</xdr:colOff>
                    <xdr:row>716</xdr:row>
                    <xdr:rowOff>238125</xdr:rowOff>
                  </to>
                </anchor>
              </controlPr>
            </control>
          </mc:Choice>
        </mc:AlternateContent>
        <mc:AlternateContent xmlns:mc="http://schemas.openxmlformats.org/markup-compatibility/2006">
          <mc:Choice Requires="x14">
            <control shapeId="20514" r:id="rId15" name="Option Button 34">
              <controlPr defaultSize="0" autoFill="0" autoLine="0" autoPict="0">
                <anchor moveWithCells="1">
                  <from>
                    <xdr:col>8</xdr:col>
                    <xdr:colOff>47625</xdr:colOff>
                    <xdr:row>720</xdr:row>
                    <xdr:rowOff>19050</xdr:rowOff>
                  </from>
                  <to>
                    <xdr:col>22</xdr:col>
                    <xdr:colOff>666750</xdr:colOff>
                    <xdr:row>720</xdr:row>
                    <xdr:rowOff>238125</xdr:rowOff>
                  </to>
                </anchor>
              </controlPr>
            </control>
          </mc:Choice>
        </mc:AlternateContent>
        <mc:AlternateContent xmlns:mc="http://schemas.openxmlformats.org/markup-compatibility/2006">
          <mc:Choice Requires="x14">
            <control shapeId="20516" r:id="rId16" name="Option Button 36">
              <controlPr defaultSize="0" autoFill="0" autoLine="0" autoPict="0">
                <anchor moveWithCells="1">
                  <from>
                    <xdr:col>8</xdr:col>
                    <xdr:colOff>38100</xdr:colOff>
                    <xdr:row>724</xdr:row>
                    <xdr:rowOff>9525</xdr:rowOff>
                  </from>
                  <to>
                    <xdr:col>22</xdr:col>
                    <xdr:colOff>676275</xdr:colOff>
                    <xdr:row>725</xdr:row>
                    <xdr:rowOff>0</xdr:rowOff>
                  </to>
                </anchor>
              </controlPr>
            </control>
          </mc:Choice>
        </mc:AlternateContent>
        <mc:AlternateContent xmlns:mc="http://schemas.openxmlformats.org/markup-compatibility/2006">
          <mc:Choice Requires="x14">
            <control shapeId="20523" r:id="rId17" name="Option Button 43">
              <controlPr defaultSize="0" autoFill="0" autoLine="0" autoPict="0">
                <anchor moveWithCells="1">
                  <from>
                    <xdr:col>8</xdr:col>
                    <xdr:colOff>47625</xdr:colOff>
                    <xdr:row>738</xdr:row>
                    <xdr:rowOff>19050</xdr:rowOff>
                  </from>
                  <to>
                    <xdr:col>22</xdr:col>
                    <xdr:colOff>685800</xdr:colOff>
                    <xdr:row>738</xdr:row>
                    <xdr:rowOff>238125</xdr:rowOff>
                  </to>
                </anchor>
              </controlPr>
            </control>
          </mc:Choice>
        </mc:AlternateContent>
        <mc:AlternateContent xmlns:mc="http://schemas.openxmlformats.org/markup-compatibility/2006">
          <mc:Choice Requires="x14">
            <control shapeId="20524" r:id="rId18" name="Option Button 44">
              <controlPr defaultSize="0" autoFill="0" autoLine="0" autoPict="0">
                <anchor moveWithCells="1">
                  <from>
                    <xdr:col>8</xdr:col>
                    <xdr:colOff>47625</xdr:colOff>
                    <xdr:row>741</xdr:row>
                    <xdr:rowOff>19050</xdr:rowOff>
                  </from>
                  <to>
                    <xdr:col>22</xdr:col>
                    <xdr:colOff>666750</xdr:colOff>
                    <xdr:row>741</xdr:row>
                    <xdr:rowOff>238125</xdr:rowOff>
                  </to>
                </anchor>
              </controlPr>
            </control>
          </mc:Choice>
        </mc:AlternateContent>
        <mc:AlternateContent xmlns:mc="http://schemas.openxmlformats.org/markup-compatibility/2006">
          <mc:Choice Requires="x14">
            <control shapeId="20525" r:id="rId19" name="Option Button 45">
              <controlPr defaultSize="0" autoFill="0" autoLine="0" autoPict="0">
                <anchor moveWithCells="1">
                  <from>
                    <xdr:col>8</xdr:col>
                    <xdr:colOff>47625</xdr:colOff>
                    <xdr:row>744</xdr:row>
                    <xdr:rowOff>28575</xdr:rowOff>
                  </from>
                  <to>
                    <xdr:col>22</xdr:col>
                    <xdr:colOff>666750</xdr:colOff>
                    <xdr:row>744</xdr:row>
                    <xdr:rowOff>247650</xdr:rowOff>
                  </to>
                </anchor>
              </controlPr>
            </control>
          </mc:Choice>
        </mc:AlternateContent>
        <mc:AlternateContent xmlns:mc="http://schemas.openxmlformats.org/markup-compatibility/2006">
          <mc:Choice Requires="x14">
            <control shapeId="20528" r:id="rId20" name="Option Button 48">
              <controlPr defaultSize="0" autoFill="0" autoLine="0" autoPict="0">
                <anchor moveWithCells="1">
                  <from>
                    <xdr:col>8</xdr:col>
                    <xdr:colOff>47625</xdr:colOff>
                    <xdr:row>790</xdr:row>
                    <xdr:rowOff>28575</xdr:rowOff>
                  </from>
                  <to>
                    <xdr:col>22</xdr:col>
                    <xdr:colOff>685800</xdr:colOff>
                    <xdr:row>791</xdr:row>
                    <xdr:rowOff>266700</xdr:rowOff>
                  </to>
                </anchor>
              </controlPr>
            </control>
          </mc:Choice>
        </mc:AlternateContent>
        <mc:AlternateContent xmlns:mc="http://schemas.openxmlformats.org/markup-compatibility/2006">
          <mc:Choice Requires="x14">
            <control shapeId="20529" r:id="rId21" name="Option Button 49">
              <controlPr defaultSize="0" autoFill="0" autoLine="0" autoPict="0">
                <anchor moveWithCells="1">
                  <from>
                    <xdr:col>8</xdr:col>
                    <xdr:colOff>47625</xdr:colOff>
                    <xdr:row>794</xdr:row>
                    <xdr:rowOff>28575</xdr:rowOff>
                  </from>
                  <to>
                    <xdr:col>22</xdr:col>
                    <xdr:colOff>666750</xdr:colOff>
                    <xdr:row>795</xdr:row>
                    <xdr:rowOff>257175</xdr:rowOff>
                  </to>
                </anchor>
              </controlPr>
            </control>
          </mc:Choice>
        </mc:AlternateContent>
        <mc:AlternateContent xmlns:mc="http://schemas.openxmlformats.org/markup-compatibility/2006">
          <mc:Choice Requires="x14">
            <control shapeId="20530" r:id="rId22" name="Option Button 50">
              <controlPr defaultSize="0" autoFill="0" autoLine="0" autoPict="0">
                <anchor moveWithCells="1">
                  <from>
                    <xdr:col>8</xdr:col>
                    <xdr:colOff>47625</xdr:colOff>
                    <xdr:row>798</xdr:row>
                    <xdr:rowOff>19050</xdr:rowOff>
                  </from>
                  <to>
                    <xdr:col>22</xdr:col>
                    <xdr:colOff>666750</xdr:colOff>
                    <xdr:row>799</xdr:row>
                    <xdr:rowOff>247650</xdr:rowOff>
                  </to>
                </anchor>
              </controlPr>
            </control>
          </mc:Choice>
        </mc:AlternateContent>
        <mc:AlternateContent xmlns:mc="http://schemas.openxmlformats.org/markup-compatibility/2006">
          <mc:Choice Requires="x14">
            <control shapeId="20532" r:id="rId23" name="Check Box 52">
              <controlPr defaultSize="0" autoFill="0" autoLine="0" autoPict="0">
                <anchor moveWithCells="1">
                  <from>
                    <xdr:col>8</xdr:col>
                    <xdr:colOff>47625</xdr:colOff>
                    <xdr:row>816</xdr:row>
                    <xdr:rowOff>19050</xdr:rowOff>
                  </from>
                  <to>
                    <xdr:col>22</xdr:col>
                    <xdr:colOff>695325</xdr:colOff>
                    <xdr:row>816</xdr:row>
                    <xdr:rowOff>238125</xdr:rowOff>
                  </to>
                </anchor>
              </controlPr>
            </control>
          </mc:Choice>
        </mc:AlternateContent>
        <mc:AlternateContent xmlns:mc="http://schemas.openxmlformats.org/markup-compatibility/2006">
          <mc:Choice Requires="x14">
            <control shapeId="20533" r:id="rId24" name="Check Box 53">
              <controlPr defaultSize="0" autoFill="0" autoLine="0" autoPict="0">
                <anchor moveWithCells="1">
                  <from>
                    <xdr:col>8</xdr:col>
                    <xdr:colOff>47625</xdr:colOff>
                    <xdr:row>820</xdr:row>
                    <xdr:rowOff>28575</xdr:rowOff>
                  </from>
                  <to>
                    <xdr:col>22</xdr:col>
                    <xdr:colOff>695325</xdr:colOff>
                    <xdr:row>820</xdr:row>
                    <xdr:rowOff>247650</xdr:rowOff>
                  </to>
                </anchor>
              </controlPr>
            </control>
          </mc:Choice>
        </mc:AlternateContent>
        <mc:AlternateContent xmlns:mc="http://schemas.openxmlformats.org/markup-compatibility/2006">
          <mc:Choice Requires="x14">
            <control shapeId="20535" r:id="rId25" name="Option Button 55">
              <controlPr defaultSize="0" autoFill="0" autoLine="0" autoPict="0">
                <anchor moveWithCells="1">
                  <from>
                    <xdr:col>8</xdr:col>
                    <xdr:colOff>47625</xdr:colOff>
                    <xdr:row>831</xdr:row>
                    <xdr:rowOff>19050</xdr:rowOff>
                  </from>
                  <to>
                    <xdr:col>22</xdr:col>
                    <xdr:colOff>685800</xdr:colOff>
                    <xdr:row>831</xdr:row>
                    <xdr:rowOff>238125</xdr:rowOff>
                  </to>
                </anchor>
              </controlPr>
            </control>
          </mc:Choice>
        </mc:AlternateContent>
        <mc:AlternateContent xmlns:mc="http://schemas.openxmlformats.org/markup-compatibility/2006">
          <mc:Choice Requires="x14">
            <control shapeId="20536" r:id="rId26" name="Option Button 56">
              <controlPr defaultSize="0" autoFill="0" autoLine="0" autoPict="0">
                <anchor moveWithCells="1">
                  <from>
                    <xdr:col>8</xdr:col>
                    <xdr:colOff>47625</xdr:colOff>
                    <xdr:row>836</xdr:row>
                    <xdr:rowOff>19050</xdr:rowOff>
                  </from>
                  <to>
                    <xdr:col>22</xdr:col>
                    <xdr:colOff>666750</xdr:colOff>
                    <xdr:row>836</xdr:row>
                    <xdr:rowOff>238125</xdr:rowOff>
                  </to>
                </anchor>
              </controlPr>
            </control>
          </mc:Choice>
        </mc:AlternateContent>
        <mc:AlternateContent xmlns:mc="http://schemas.openxmlformats.org/markup-compatibility/2006">
          <mc:Choice Requires="x14">
            <control shapeId="20537" r:id="rId27" name="Option Button 57">
              <controlPr defaultSize="0" autoFill="0" autoLine="0" autoPict="0">
                <anchor moveWithCells="1">
                  <from>
                    <xdr:col>8</xdr:col>
                    <xdr:colOff>47625</xdr:colOff>
                    <xdr:row>847</xdr:row>
                    <xdr:rowOff>19050</xdr:rowOff>
                  </from>
                  <to>
                    <xdr:col>22</xdr:col>
                    <xdr:colOff>666750</xdr:colOff>
                    <xdr:row>847</xdr:row>
                    <xdr:rowOff>238125</xdr:rowOff>
                  </to>
                </anchor>
              </controlPr>
            </control>
          </mc:Choice>
        </mc:AlternateContent>
        <mc:AlternateContent xmlns:mc="http://schemas.openxmlformats.org/markup-compatibility/2006">
          <mc:Choice Requires="x14">
            <control shapeId="20538" r:id="rId28" name="Option Button 58">
              <controlPr defaultSize="0" autoFill="0" autoLine="0" autoPict="0">
                <anchor moveWithCells="1">
                  <from>
                    <xdr:col>8</xdr:col>
                    <xdr:colOff>57150</xdr:colOff>
                    <xdr:row>747</xdr:row>
                    <xdr:rowOff>19050</xdr:rowOff>
                  </from>
                  <to>
                    <xdr:col>22</xdr:col>
                    <xdr:colOff>676275</xdr:colOff>
                    <xdr:row>747</xdr:row>
                    <xdr:rowOff>238125</xdr:rowOff>
                  </to>
                </anchor>
              </controlPr>
            </control>
          </mc:Choice>
        </mc:AlternateContent>
        <mc:AlternateContent xmlns:mc="http://schemas.openxmlformats.org/markup-compatibility/2006">
          <mc:Choice Requires="x14">
            <control shapeId="20515" r:id="rId29" name="Option Button 35">
              <controlPr defaultSize="0" autoFill="0" autoLine="0" autoPict="0">
                <anchor moveWithCells="1">
                  <from>
                    <xdr:col>8</xdr:col>
                    <xdr:colOff>38100</xdr:colOff>
                    <xdr:row>729</xdr:row>
                    <xdr:rowOff>76200</xdr:rowOff>
                  </from>
                  <to>
                    <xdr:col>22</xdr:col>
                    <xdr:colOff>657225</xdr:colOff>
                    <xdr:row>730</xdr:row>
                    <xdr:rowOff>180975</xdr:rowOff>
                  </to>
                </anchor>
              </controlPr>
            </control>
          </mc:Choice>
        </mc:AlternateContent>
        <mc:AlternateContent xmlns:mc="http://schemas.openxmlformats.org/markup-compatibility/2006">
          <mc:Choice Requires="x14">
            <control shapeId="20555" r:id="rId30" name="Option Button 75">
              <controlPr defaultSize="0" autoFill="0" autoLine="0" autoPict="0">
                <anchor moveWithCells="1">
                  <from>
                    <xdr:col>8</xdr:col>
                    <xdr:colOff>38100</xdr:colOff>
                    <xdr:row>733</xdr:row>
                    <xdr:rowOff>19050</xdr:rowOff>
                  </from>
                  <to>
                    <xdr:col>22</xdr:col>
                    <xdr:colOff>657225</xdr:colOff>
                    <xdr:row>733</xdr:row>
                    <xdr:rowOff>257175</xdr:rowOff>
                  </to>
                </anchor>
              </controlPr>
            </control>
          </mc:Choice>
        </mc:AlternateContent>
        <mc:AlternateContent xmlns:mc="http://schemas.openxmlformats.org/markup-compatibility/2006">
          <mc:Choice Requires="x14">
            <control shapeId="20531" r:id="rId31" name="Option Button 51">
              <controlPr defaultSize="0" autoFill="0" autoLine="0" autoPict="0">
                <anchor moveWithCells="1">
                  <from>
                    <xdr:col>8</xdr:col>
                    <xdr:colOff>47625</xdr:colOff>
                    <xdr:row>802</xdr:row>
                    <xdr:rowOff>19050</xdr:rowOff>
                  </from>
                  <to>
                    <xdr:col>22</xdr:col>
                    <xdr:colOff>685800</xdr:colOff>
                    <xdr:row>802</xdr:row>
                    <xdr:rowOff>238125</xdr:rowOff>
                  </to>
                </anchor>
              </controlPr>
            </control>
          </mc:Choice>
        </mc:AlternateContent>
        <mc:AlternateContent xmlns:mc="http://schemas.openxmlformats.org/markup-compatibility/2006">
          <mc:Choice Requires="x14">
            <control shapeId="20566" r:id="rId32" name="Option Button 86">
              <controlPr defaultSize="0" autoFill="0" autoLine="0" autoPict="0">
                <anchor moveWithCells="1">
                  <from>
                    <xdr:col>8</xdr:col>
                    <xdr:colOff>57150</xdr:colOff>
                    <xdr:row>806</xdr:row>
                    <xdr:rowOff>19050</xdr:rowOff>
                  </from>
                  <to>
                    <xdr:col>22</xdr:col>
                    <xdr:colOff>695325</xdr:colOff>
                    <xdr:row>806</xdr:row>
                    <xdr:rowOff>238125</xdr:rowOff>
                  </to>
                </anchor>
              </controlPr>
            </control>
          </mc:Choice>
        </mc:AlternateContent>
        <mc:AlternateContent xmlns:mc="http://schemas.openxmlformats.org/markup-compatibility/2006">
          <mc:Choice Requires="x14">
            <control shapeId="20509" r:id="rId33" name="Group Box 29">
              <controlPr defaultSize="0" autoFill="0" autoPict="0">
                <anchor moveWithCells="1">
                  <from>
                    <xdr:col>8</xdr:col>
                    <xdr:colOff>0</xdr:colOff>
                    <xdr:row>716</xdr:row>
                    <xdr:rowOff>9525</xdr:rowOff>
                  </from>
                  <to>
                    <xdr:col>23</xdr:col>
                    <xdr:colOff>0</xdr:colOff>
                    <xdr:row>734</xdr:row>
                    <xdr:rowOff>0</xdr:rowOff>
                  </to>
                </anchor>
              </controlPr>
            </control>
          </mc:Choice>
        </mc:AlternateContent>
        <mc:AlternateContent xmlns:mc="http://schemas.openxmlformats.org/markup-compatibility/2006">
          <mc:Choice Requires="x14">
            <control shapeId="20522" r:id="rId34" name="Group Box 42">
              <controlPr defaultSize="0" autoFill="0" autoPict="0">
                <anchor moveWithCells="1">
                  <from>
                    <xdr:col>8</xdr:col>
                    <xdr:colOff>0</xdr:colOff>
                    <xdr:row>738</xdr:row>
                    <xdr:rowOff>9525</xdr:rowOff>
                  </from>
                  <to>
                    <xdr:col>23</xdr:col>
                    <xdr:colOff>0</xdr:colOff>
                    <xdr:row>748</xdr:row>
                    <xdr:rowOff>0</xdr:rowOff>
                  </to>
                </anchor>
              </controlPr>
            </control>
          </mc:Choice>
        </mc:AlternateContent>
        <mc:AlternateContent xmlns:mc="http://schemas.openxmlformats.org/markup-compatibility/2006">
          <mc:Choice Requires="x14">
            <control shapeId="20534" r:id="rId35" name="Group Box 54">
              <controlPr defaultSize="0" autoFill="0" autoPict="0">
                <anchor moveWithCells="1">
                  <from>
                    <xdr:col>8</xdr:col>
                    <xdr:colOff>0</xdr:colOff>
                    <xdr:row>831</xdr:row>
                    <xdr:rowOff>9525</xdr:rowOff>
                  </from>
                  <to>
                    <xdr:col>23</xdr:col>
                    <xdr:colOff>0</xdr:colOff>
                    <xdr:row>847</xdr:row>
                    <xdr:rowOff>266700</xdr:rowOff>
                  </to>
                </anchor>
              </controlPr>
            </control>
          </mc:Choice>
        </mc:AlternateContent>
        <mc:AlternateContent xmlns:mc="http://schemas.openxmlformats.org/markup-compatibility/2006">
          <mc:Choice Requires="x14">
            <control shapeId="20527" r:id="rId36" name="Group Box 47">
              <controlPr defaultSize="0" autoFill="0" autoPict="0">
                <anchor moveWithCells="1">
                  <from>
                    <xdr:col>8</xdr:col>
                    <xdr:colOff>0</xdr:colOff>
                    <xdr:row>790</xdr:row>
                    <xdr:rowOff>9525</xdr:rowOff>
                  </from>
                  <to>
                    <xdr:col>23</xdr:col>
                    <xdr:colOff>0</xdr:colOff>
                    <xdr:row>807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1:AF872"/>
  <sheetViews>
    <sheetView showGridLines="0" showRowColHeaders="0" topLeftCell="H1" zoomScaleNormal="100" zoomScaleSheetLayoutView="100" workbookViewId="0">
      <pane ySplit="4" topLeftCell="A5" activePane="bottomLeft" state="frozen"/>
      <selection pane="bottomLeft" activeCell="H5" sqref="H5"/>
    </sheetView>
  </sheetViews>
  <sheetFormatPr defaultColWidth="0" defaultRowHeight="0" customHeight="1" zeroHeight="1" x14ac:dyDescent="0.2"/>
  <cols>
    <col min="1" max="1" width="27.5703125" style="303" hidden="1" customWidth="1"/>
    <col min="2" max="2" width="15.7109375" style="304" hidden="1" customWidth="1"/>
    <col min="3" max="7" width="15.7109375" style="303" hidden="1" customWidth="1"/>
    <col min="8" max="8" width="2.42578125" style="146" customWidth="1"/>
    <col min="9" max="9" width="10.7109375" style="146" customWidth="1"/>
    <col min="10" max="10" width="2.7109375" style="145" customWidth="1"/>
    <col min="11" max="11" width="10.7109375" style="146" customWidth="1"/>
    <col min="12" max="12" width="2.7109375" style="145" customWidth="1"/>
    <col min="13" max="13" width="10.7109375" style="146" customWidth="1"/>
    <col min="14" max="14" width="2.7109375" style="145" customWidth="1"/>
    <col min="15" max="15" width="10.7109375" style="146" customWidth="1"/>
    <col min="16" max="16" width="2.7109375" style="145" customWidth="1"/>
    <col min="17" max="17" width="10.7109375" style="146" customWidth="1"/>
    <col min="18" max="18" width="2.7109375" style="145" customWidth="1"/>
    <col min="19" max="19" width="10.7109375" style="146" customWidth="1"/>
    <col min="20" max="20" width="2.7109375" style="145" customWidth="1"/>
    <col min="21" max="21" width="10.7109375" style="146" customWidth="1"/>
    <col min="22" max="22" width="2.7109375" style="145" customWidth="1"/>
    <col min="23" max="23" width="10.7109375" style="146" customWidth="1"/>
    <col min="24" max="24" width="2.7109375" style="145" customWidth="1"/>
    <col min="25" max="25" width="2.42578125" style="146" customWidth="1"/>
    <col min="26" max="26" width="9.140625" style="138" hidden="1" customWidth="1"/>
    <col min="27" max="27" width="17.85546875" style="138" hidden="1" customWidth="1"/>
    <col min="28" max="28" width="26.5703125" style="138" hidden="1" customWidth="1"/>
    <col min="29" max="29" width="45.5703125" style="138" hidden="1" customWidth="1"/>
    <col min="30" max="30" width="28.85546875" style="138" hidden="1" customWidth="1"/>
    <col min="31" max="31" width="28.7109375" style="138" hidden="1" customWidth="1"/>
    <col min="32" max="32" width="29.140625" style="138" hidden="1" customWidth="1"/>
    <col min="33" max="16384" width="9.140625" style="138" hidden="1"/>
  </cols>
  <sheetData>
    <row r="1" spans="1:29" ht="45" customHeight="1" thickBot="1" x14ac:dyDescent="0.25">
      <c r="A1" s="274" t="s">
        <v>264</v>
      </c>
      <c r="B1" s="275" t="s">
        <v>263</v>
      </c>
      <c r="C1" s="274" t="s">
        <v>260</v>
      </c>
      <c r="D1" s="274" t="s">
        <v>261</v>
      </c>
      <c r="E1" s="274" t="s">
        <v>258</v>
      </c>
      <c r="F1" s="274" t="s">
        <v>259</v>
      </c>
      <c r="G1" s="276" t="s">
        <v>262</v>
      </c>
      <c r="H1" s="195"/>
      <c r="I1" s="195"/>
      <c r="J1" s="196"/>
      <c r="K1" s="195"/>
      <c r="L1" s="196"/>
      <c r="M1" s="195"/>
      <c r="N1" s="196"/>
      <c r="O1" s="195"/>
      <c r="P1" s="196"/>
      <c r="Q1" s="195"/>
      <c r="R1" s="196"/>
      <c r="S1" s="195"/>
      <c r="T1" s="196"/>
      <c r="U1" s="195"/>
      <c r="V1" s="196"/>
      <c r="W1" s="195"/>
      <c r="X1" s="196"/>
      <c r="Y1" s="195"/>
    </row>
    <row r="2" spans="1:29" ht="3" customHeight="1" x14ac:dyDescent="0.2">
      <c r="A2" s="277"/>
      <c r="B2" s="278"/>
      <c r="C2" s="277"/>
      <c r="D2" s="277"/>
      <c r="E2" s="277"/>
      <c r="F2" s="277"/>
      <c r="G2" s="277"/>
      <c r="H2" s="154"/>
      <c r="I2" s="155"/>
      <c r="J2" s="155"/>
      <c r="K2" s="155"/>
      <c r="L2" s="155"/>
      <c r="M2" s="155"/>
      <c r="N2" s="155"/>
      <c r="O2" s="155"/>
      <c r="P2" s="156"/>
      <c r="Q2" s="156"/>
      <c r="R2" s="197"/>
      <c r="S2" s="184"/>
      <c r="T2" s="197"/>
      <c r="U2" s="197"/>
      <c r="V2" s="197"/>
      <c r="W2" s="197"/>
      <c r="X2" s="197"/>
      <c r="Y2" s="197"/>
    </row>
    <row r="3" spans="1:29" ht="15" customHeight="1" x14ac:dyDescent="0.2">
      <c r="A3" s="277"/>
      <c r="B3" s="278"/>
      <c r="C3" s="277"/>
      <c r="D3" s="277"/>
      <c r="E3" s="277"/>
      <c r="F3" s="277"/>
      <c r="G3" s="277"/>
      <c r="H3" s="198"/>
      <c r="I3" s="155" t="str">
        <f ca="1">(LEFT($B$8,40)&amp;IF(LEN($B$8)&gt;40,"…",""))</f>
        <v/>
      </c>
      <c r="J3" s="155"/>
      <c r="K3" s="155"/>
      <c r="L3" s="155"/>
      <c r="M3" s="155"/>
      <c r="N3" s="155"/>
      <c r="O3" s="155"/>
      <c r="P3" s="156"/>
      <c r="Q3" s="156"/>
      <c r="R3" s="270" t="s">
        <v>2335</v>
      </c>
      <c r="S3" s="139" t="str">
        <f ca="1">IF('$DB.DATA'!H10="O",VLOOKUP("APP_PROGRESS_PCT_COMPLETE",DB_TBL_DATA_FIELDS[[FIELD_ID]:[FIELD_VALUE_CLEAN]],10,FALSE),"N/A")</f>
        <v>N/A</v>
      </c>
      <c r="T3" s="157" t="str">
        <f ca="1">IF(B13&gt;0,0,IF(B9&gt;0,1,IF(S3=1,2,"")))</f>
        <v/>
      </c>
      <c r="U3" s="198"/>
      <c r="V3" s="199"/>
      <c r="W3" s="198"/>
      <c r="X3" s="199"/>
      <c r="Y3" s="198"/>
    </row>
    <row r="4" spans="1:29" ht="3" customHeight="1" x14ac:dyDescent="0.2">
      <c r="A4" s="277"/>
      <c r="B4" s="278"/>
      <c r="C4" s="277"/>
      <c r="D4" s="277"/>
      <c r="E4" s="277"/>
      <c r="F4" s="277"/>
      <c r="G4" s="277"/>
      <c r="H4" s="201"/>
      <c r="I4" s="158"/>
      <c r="J4" s="158"/>
      <c r="K4" s="158"/>
      <c r="L4" s="158"/>
      <c r="M4" s="158"/>
      <c r="N4" s="158"/>
      <c r="O4" s="158"/>
      <c r="P4" s="159"/>
      <c r="Q4" s="159"/>
      <c r="R4" s="200"/>
      <c r="S4" s="201"/>
      <c r="T4" s="200"/>
      <c r="U4" s="201"/>
      <c r="V4" s="200"/>
      <c r="W4" s="201"/>
      <c r="X4" s="200"/>
      <c r="Y4" s="201"/>
    </row>
    <row r="5" spans="1:29" ht="3.95" customHeight="1" x14ac:dyDescent="0.2">
      <c r="A5" s="277"/>
      <c r="B5" s="278"/>
      <c r="C5" s="277"/>
      <c r="D5" s="277"/>
      <c r="E5" s="277"/>
      <c r="F5" s="277"/>
      <c r="G5" s="277"/>
      <c r="H5" s="203"/>
      <c r="I5" s="160"/>
      <c r="J5" s="160"/>
      <c r="K5" s="160"/>
      <c r="L5" s="160"/>
      <c r="M5" s="160"/>
      <c r="N5" s="160"/>
      <c r="O5" s="160"/>
      <c r="P5" s="161"/>
      <c r="Q5" s="161"/>
      <c r="R5" s="140"/>
      <c r="S5" s="202"/>
      <c r="T5" s="140"/>
      <c r="U5" s="202"/>
      <c r="V5" s="140"/>
      <c r="W5" s="202"/>
      <c r="X5" s="140"/>
      <c r="Y5" s="202"/>
    </row>
    <row r="6" spans="1:29" ht="18" customHeight="1" x14ac:dyDescent="0.2">
      <c r="A6" s="279" t="s">
        <v>41</v>
      </c>
      <c r="B6" s="280" t="str">
        <f>VLOOKUP("AHP_ROUND_DESC",DB_TBL_CONFIG_APP[#All],4,FALSE)</f>
        <v>AHP General Fund 2021</v>
      </c>
      <c r="C6" s="279"/>
      <c r="D6" s="279"/>
      <c r="E6" s="279"/>
      <c r="F6" s="279"/>
      <c r="G6" s="279"/>
      <c r="H6" s="162" t="str">
        <f ca="1">B11</f>
        <v/>
      </c>
      <c r="I6" s="642" t="str">
        <f ca="1">B12</f>
        <v/>
      </c>
      <c r="J6" s="643"/>
      <c r="K6" s="643"/>
      <c r="L6" s="643"/>
      <c r="M6" s="643"/>
      <c r="N6" s="643"/>
      <c r="O6" s="643"/>
      <c r="P6" s="643"/>
      <c r="Q6" s="643"/>
      <c r="R6" s="643"/>
      <c r="S6" s="643"/>
      <c r="T6" s="643"/>
      <c r="U6" s="643"/>
      <c r="V6" s="643"/>
      <c r="W6" s="643"/>
      <c r="X6" s="643"/>
      <c r="Y6" s="643"/>
    </row>
    <row r="7" spans="1:29" ht="3.95" customHeight="1" x14ac:dyDescent="0.2">
      <c r="A7" s="279" t="s">
        <v>78</v>
      </c>
      <c r="B7" s="280" t="str">
        <f>VLOOKUP(A7,DB_TBL_CONFIG_APP[#All],4,FALSE)</f>
        <v>Owner-Occupied Project</v>
      </c>
      <c r="C7" s="279"/>
      <c r="D7" s="279"/>
      <c r="E7" s="279"/>
      <c r="F7" s="279"/>
      <c r="G7" s="279"/>
      <c r="H7" s="162"/>
      <c r="I7" s="162"/>
      <c r="J7" s="162"/>
      <c r="K7" s="162"/>
      <c r="L7" s="162"/>
      <c r="M7" s="162"/>
      <c r="N7" s="162"/>
      <c r="O7" s="162"/>
      <c r="P7" s="162"/>
      <c r="Q7" s="162"/>
      <c r="R7" s="162"/>
      <c r="S7" s="162"/>
      <c r="T7" s="162"/>
      <c r="U7" s="162"/>
      <c r="V7" s="162"/>
      <c r="W7" s="162"/>
      <c r="X7" s="162"/>
      <c r="Y7" s="162"/>
    </row>
    <row r="8" spans="1:29" ht="21.95" customHeight="1" x14ac:dyDescent="0.2">
      <c r="A8" s="279" t="s">
        <v>59</v>
      </c>
      <c r="B8" s="280" t="str">
        <f ca="1">IF(VLOOKUP("PROJ_NAME",DB_TBL_DATA_FIELDS[[#All],[FIELD_ID]:[FIELD_VALUE_CLEAN]],10,FALSE)="","",VLOOKUP("PROJ_NAME",DB_TBL_DATA_FIELDS[[#All],[FIELD_ID]:[FIELD_VALUE_CLEAN]],10,FALSE))</f>
        <v/>
      </c>
      <c r="C8" s="281"/>
      <c r="D8" s="281"/>
      <c r="E8" s="279"/>
      <c r="F8" s="279"/>
      <c r="G8" s="279"/>
      <c r="H8" s="202"/>
      <c r="I8" s="163" t="s">
        <v>3411</v>
      </c>
      <c r="J8" s="162"/>
      <c r="K8" s="162"/>
      <c r="L8" s="162"/>
      <c r="M8" s="162"/>
      <c r="N8" s="162"/>
      <c r="O8" s="162"/>
      <c r="P8" s="162"/>
      <c r="Q8" s="162"/>
      <c r="R8" s="162"/>
      <c r="S8" s="162"/>
      <c r="T8" s="162"/>
      <c r="U8" s="162"/>
      <c r="V8" s="162"/>
      <c r="W8" s="162"/>
      <c r="X8" s="162"/>
      <c r="Y8" s="202"/>
    </row>
    <row r="9" spans="1:29" s="142" customFormat="1" ht="21.95" customHeight="1" x14ac:dyDescent="0.2">
      <c r="A9" s="281" t="s">
        <v>2369</v>
      </c>
      <c r="B9" s="282">
        <f ca="1">SUMIF(C:C,"WARNING_COUNT",B:B)</f>
        <v>0</v>
      </c>
      <c r="C9" s="281"/>
      <c r="D9" s="281"/>
      <c r="E9" s="281"/>
      <c r="F9" s="281"/>
      <c r="G9" s="281"/>
      <c r="H9" s="202"/>
      <c r="I9" s="164" t="s">
        <v>28</v>
      </c>
      <c r="J9" s="165">
        <f>1</f>
        <v>1</v>
      </c>
      <c r="K9" s="166"/>
      <c r="L9" s="166"/>
      <c r="M9" s="164" t="s">
        <v>3416</v>
      </c>
      <c r="N9" s="165">
        <f>2</f>
        <v>2</v>
      </c>
      <c r="O9" s="204"/>
      <c r="P9" s="204"/>
      <c r="Q9" s="164" t="s">
        <v>3417</v>
      </c>
      <c r="R9" s="165">
        <f>0</f>
        <v>0</v>
      </c>
      <c r="S9" s="204"/>
      <c r="T9" s="204"/>
      <c r="U9" s="701" t="s">
        <v>3418</v>
      </c>
      <c r="V9" s="702"/>
      <c r="W9" s="702"/>
      <c r="X9" s="703"/>
      <c r="Y9" s="202"/>
    </row>
    <row r="10" spans="1:29" s="142" customFormat="1" ht="15" customHeight="1" x14ac:dyDescent="0.2">
      <c r="A10" s="281" t="s">
        <v>2370</v>
      </c>
      <c r="B10" s="282" t="b">
        <f ca="1">B9&gt;0</f>
        <v>0</v>
      </c>
      <c r="C10" s="281"/>
      <c r="D10" s="281"/>
      <c r="E10" s="281"/>
      <c r="F10" s="281"/>
      <c r="G10" s="281"/>
      <c r="H10" s="202"/>
      <c r="I10" s="202"/>
      <c r="J10" s="140"/>
      <c r="K10" s="202"/>
      <c r="L10" s="140"/>
      <c r="M10" s="202"/>
      <c r="N10" s="140"/>
      <c r="O10" s="202"/>
      <c r="P10" s="140"/>
      <c r="Q10" s="202"/>
      <c r="R10" s="140"/>
      <c r="S10" s="202"/>
      <c r="T10" s="140"/>
      <c r="U10" s="202"/>
      <c r="V10" s="140"/>
      <c r="W10" s="202"/>
      <c r="X10" s="140"/>
      <c r="Y10" s="202"/>
    </row>
    <row r="11" spans="1:29" s="142" customFormat="1" ht="21.95" customHeight="1" thickBot="1" x14ac:dyDescent="0.3">
      <c r="A11" s="281" t="s">
        <v>2371</v>
      </c>
      <c r="B11" s="282" t="str">
        <f ca="1">IF(B10,1,"")</f>
        <v/>
      </c>
      <c r="C11" s="281"/>
      <c r="D11" s="281"/>
      <c r="E11" s="281"/>
      <c r="F11" s="281"/>
      <c r="G11" s="281"/>
      <c r="H11" s="207"/>
      <c r="I11" s="424" t="s">
        <v>350</v>
      </c>
      <c r="J11" s="269"/>
      <c r="K11" s="269"/>
      <c r="L11" s="269"/>
      <c r="M11" s="269"/>
      <c r="N11" s="269"/>
      <c r="O11" s="269"/>
      <c r="P11" s="269"/>
      <c r="Q11" s="269"/>
      <c r="R11" s="269"/>
      <c r="S11" s="269"/>
      <c r="T11" s="269"/>
      <c r="U11" s="269"/>
      <c r="V11" s="269"/>
      <c r="W11" s="269"/>
      <c r="X11" s="167"/>
      <c r="Y11" s="207"/>
      <c r="AA11" s="411" t="s">
        <v>3753</v>
      </c>
    </row>
    <row r="12" spans="1:29" s="142" customFormat="1" ht="21.95" customHeight="1" x14ac:dyDescent="0.2">
      <c r="A12" s="281" t="s">
        <v>2372</v>
      </c>
      <c r="B12" s="280" t="str">
        <f ca="1">IF(B10,B9&amp;" "&amp;'$DB.CONFIG'!$M$5,"")</f>
        <v/>
      </c>
      <c r="C12" s="281"/>
      <c r="D12" s="281"/>
      <c r="E12" s="281"/>
      <c r="F12" s="281"/>
      <c r="G12" s="281"/>
      <c r="H12" s="265"/>
      <c r="I12" s="168" t="s">
        <v>2659</v>
      </c>
      <c r="J12" s="144"/>
      <c r="K12" s="144"/>
      <c r="L12" s="144"/>
      <c r="M12" s="144"/>
      <c r="N12" s="144"/>
      <c r="O12" s="205"/>
      <c r="P12" s="206"/>
      <c r="Q12" s="169" t="s">
        <v>2660</v>
      </c>
      <c r="R12" s="144"/>
      <c r="S12" s="144"/>
      <c r="T12" s="144"/>
      <c r="U12" s="144"/>
      <c r="V12" s="144"/>
      <c r="W12" s="144"/>
      <c r="X12" s="144"/>
      <c r="Y12" s="207"/>
      <c r="AA12" s="410" t="s">
        <v>3750</v>
      </c>
      <c r="AB12" s="410" t="s">
        <v>3752</v>
      </c>
      <c r="AC12" s="410" t="s">
        <v>3751</v>
      </c>
    </row>
    <row r="13" spans="1:29" s="142" customFormat="1" ht="21.95" customHeight="1" x14ac:dyDescent="0.25">
      <c r="A13" s="281" t="s">
        <v>2606</v>
      </c>
      <c r="B13" s="282">
        <f ca="1">SUMIF(C:C,"ERROR_COUNT",B:B)</f>
        <v>0</v>
      </c>
      <c r="C13" s="281"/>
      <c r="D13" s="281"/>
      <c r="E13" s="281"/>
      <c r="F13" s="281"/>
      <c r="G13" s="281"/>
      <c r="H13" s="207"/>
      <c r="I13" s="640" t="str">
        <f t="shared" ref="I13:I18" si="0">CHAR(ROW()-$B$14+1+96)&amp;".     "&amp;IFERROR(VLOOKUP("SECTION_"&amp;(ROW()-$B$14+1)&amp;"_TOC_LABEL",A:B,2,FALSE),"")</f>
        <v>a.     Project Location</v>
      </c>
      <c r="J13" s="641"/>
      <c r="K13" s="641"/>
      <c r="L13" s="641"/>
      <c r="M13" s="641"/>
      <c r="N13" s="162" t="str">
        <f t="shared" ref="N13:N18" si="1">IF(IFERROR(VLOOKUP("SECTION_"&amp;(ROW()-$B$14+1)&amp;"_WARNING_FLAG",A:B,2,FALSE),FALSE),1,"")</f>
        <v/>
      </c>
      <c r="O13" s="170" t="str">
        <f t="shared" ref="O13:O18" ca="1" si="2">IFERROR(VLOOKUP("SECTION_"&amp;(ROW()-$B$14+1)&amp;"_STATUS_TEXT",A:B,2,FALSE),"")</f>
        <v>Not Started</v>
      </c>
      <c r="P13" s="415" t="str">
        <f t="shared" ref="P13:P18" ca="1" si="3">IFERROR(VLOOKUP("SECTION_"&amp;(ROW()-$B$14+1)&amp;"_STATUS_CODE",A:B,2,FALSE),"")</f>
        <v/>
      </c>
      <c r="Q13" s="454" t="str">
        <f>AB13</f>
        <v>a.     Targeting</v>
      </c>
      <c r="R13" s="637"/>
      <c r="S13" s="637"/>
      <c r="T13" s="637"/>
      <c r="U13" s="637"/>
      <c r="V13" s="162" t="str">
        <f t="shared" ref="V13:V25" si="4">IF(IFERROR(VLOOKUP("SECTION_"&amp;AA13&amp;"_WARNING_FLAG",A:B,2,FALSE),FALSE),1,"")</f>
        <v/>
      </c>
      <c r="W13" s="171" t="str">
        <f t="shared" ref="W13:W25" ca="1" si="5">IFERROR(VLOOKUP("SECTION_"&amp;AA13&amp;"_STATUS_TEXT",A:B,2,FALSE),"")</f>
        <v>Not Started</v>
      </c>
      <c r="X13" s="162" t="str">
        <f t="shared" ref="X13:X25" ca="1" si="6">IFERROR(VLOOKUP("SECTION_"&amp;AA13&amp;"_STATUS_CODE",A:B,2,FALSE),"")</f>
        <v/>
      </c>
      <c r="Y13" s="207"/>
      <c r="AA13" s="410">
        <v>11</v>
      </c>
      <c r="AB13" s="410" t="str">
        <f>IF(AC13&lt;&gt;"",CHAR(ROW()-$B$14+1+96)&amp;".     "&amp;AC13,"")</f>
        <v>a.     Targeting</v>
      </c>
      <c r="AC13" s="412" t="str">
        <f t="shared" ref="AC13:AC26" si="7">IFERROR(VLOOKUP("SECTION_"&amp;AA13&amp;"_TOC_LABEL",A:B,2,FALSE),"")</f>
        <v>Targeting</v>
      </c>
    </row>
    <row r="14" spans="1:29" s="142" customFormat="1" ht="21.95" customHeight="1" x14ac:dyDescent="0.25">
      <c r="A14" s="283" t="s">
        <v>2870</v>
      </c>
      <c r="B14" s="284">
        <f>ROW(H13)</f>
        <v>13</v>
      </c>
      <c r="C14" s="281"/>
      <c r="D14" s="281"/>
      <c r="E14" s="281"/>
      <c r="F14" s="281"/>
      <c r="G14" s="281"/>
      <c r="H14" s="207"/>
      <c r="I14" s="640" t="str">
        <f t="shared" si="0"/>
        <v>b.     Member Information</v>
      </c>
      <c r="J14" s="641"/>
      <c r="K14" s="641"/>
      <c r="L14" s="641"/>
      <c r="M14" s="641"/>
      <c r="N14" s="162" t="str">
        <f t="shared" si="1"/>
        <v/>
      </c>
      <c r="O14" s="170" t="str">
        <f t="shared" ca="1" si="2"/>
        <v>Not Started</v>
      </c>
      <c r="P14" s="416" t="str">
        <f t="shared" ca="1" si="3"/>
        <v/>
      </c>
      <c r="Q14" s="454" t="str">
        <f t="shared" ref="Q14:Q23" si="8">CHAR(ROW()-$B$14+1+96)&amp;".     "&amp;IFERROR(VLOOKUP("SECTION_"&amp;(ROW()-$B$14+1+$B$16)&amp;"_TOC_LABEL",A:B,2,FALSE),"")</f>
        <v>b.     Donated or Conveyed Property</v>
      </c>
      <c r="R14" s="637"/>
      <c r="S14" s="637"/>
      <c r="T14" s="637"/>
      <c r="U14" s="637"/>
      <c r="V14" s="408" t="str">
        <f t="shared" ca="1" si="4"/>
        <v/>
      </c>
      <c r="W14" s="171" t="str">
        <f t="shared" ca="1" si="5"/>
        <v>Not Started</v>
      </c>
      <c r="X14" s="408" t="str">
        <f t="shared" ca="1" si="6"/>
        <v/>
      </c>
      <c r="Y14" s="207"/>
      <c r="AA14" s="410">
        <v>12</v>
      </c>
      <c r="AB14" s="410" t="str">
        <f t="shared" ref="AB14:AB25" si="9">IF(AC14&lt;&gt;"",CHAR(ROW()-$B$14+1+96)&amp;".     "&amp;AC14,"")</f>
        <v>b.     Donated or Conveyed Property</v>
      </c>
      <c r="AC14" s="412" t="str">
        <f t="shared" si="7"/>
        <v>Donated or Conveyed Property</v>
      </c>
    </row>
    <row r="15" spans="1:29" s="142" customFormat="1" ht="21.95" customHeight="1" x14ac:dyDescent="0.25">
      <c r="A15" s="283" t="s">
        <v>2871</v>
      </c>
      <c r="B15" s="284">
        <f>ROW(H22)</f>
        <v>22</v>
      </c>
      <c r="C15" s="281"/>
      <c r="D15" s="281"/>
      <c r="E15" s="281"/>
      <c r="F15" s="281"/>
      <c r="G15" s="281"/>
      <c r="H15" s="207"/>
      <c r="I15" s="640" t="str">
        <f t="shared" si="0"/>
        <v>c.     Sponsor Information</v>
      </c>
      <c r="J15" s="641"/>
      <c r="K15" s="641"/>
      <c r="L15" s="641"/>
      <c r="M15" s="641"/>
      <c r="N15" s="162" t="str">
        <f t="shared" si="1"/>
        <v/>
      </c>
      <c r="O15" s="170" t="str">
        <f t="shared" ca="1" si="2"/>
        <v>Not Started</v>
      </c>
      <c r="P15" s="416" t="str">
        <f t="shared" ca="1" si="3"/>
        <v/>
      </c>
      <c r="Q15" s="454" t="str">
        <f t="shared" si="8"/>
        <v>c.     Nonprofit Sponsorship</v>
      </c>
      <c r="R15" s="637"/>
      <c r="S15" s="637"/>
      <c r="T15" s="637"/>
      <c r="U15" s="637"/>
      <c r="V15" s="408" t="str">
        <f t="shared" si="4"/>
        <v/>
      </c>
      <c r="W15" s="171" t="str">
        <f t="shared" ca="1" si="5"/>
        <v>Not Started</v>
      </c>
      <c r="X15" s="408" t="str">
        <f t="shared" ca="1" si="6"/>
        <v/>
      </c>
      <c r="Y15" s="207"/>
      <c r="AA15" s="410">
        <v>13</v>
      </c>
      <c r="AB15" s="410" t="str">
        <f t="shared" si="9"/>
        <v>c.     Nonprofit Sponsorship</v>
      </c>
      <c r="AC15" s="412" t="str">
        <f t="shared" si="7"/>
        <v>Nonprofit Sponsorship</v>
      </c>
    </row>
    <row r="16" spans="1:29" s="142" customFormat="1" ht="21.95" customHeight="1" x14ac:dyDescent="0.25">
      <c r="A16" s="283" t="s">
        <v>2872</v>
      </c>
      <c r="B16" s="284">
        <f>B15-B14+1</f>
        <v>10</v>
      </c>
      <c r="C16" s="281"/>
      <c r="D16" s="281"/>
      <c r="E16" s="281"/>
      <c r="F16" s="281"/>
      <c r="G16" s="281"/>
      <c r="H16" s="207"/>
      <c r="I16" s="640" t="str">
        <f t="shared" si="0"/>
        <v>d.     Subsidy Request</v>
      </c>
      <c r="J16" s="641"/>
      <c r="K16" s="641"/>
      <c r="L16" s="641"/>
      <c r="M16" s="641"/>
      <c r="N16" s="162" t="str">
        <f t="shared" si="1"/>
        <v/>
      </c>
      <c r="O16" s="170" t="str">
        <f t="shared" ca="1" si="2"/>
        <v>Not Started</v>
      </c>
      <c r="P16" s="416" t="str">
        <f t="shared" ca="1" si="3"/>
        <v/>
      </c>
      <c r="Q16" s="454" t="str">
        <f t="shared" si="8"/>
        <v>d.     Homeless Housing</v>
      </c>
      <c r="R16" s="637"/>
      <c r="S16" s="637"/>
      <c r="T16" s="637"/>
      <c r="U16" s="637"/>
      <c r="V16" s="408" t="str">
        <f t="shared" si="4"/>
        <v/>
      </c>
      <c r="W16" s="171" t="str">
        <f t="shared" ca="1" si="5"/>
        <v>Optional</v>
      </c>
      <c r="X16" s="408">
        <f t="shared" ca="1" si="6"/>
        <v>2</v>
      </c>
      <c r="Y16" s="207"/>
      <c r="AA16" s="410">
        <v>18</v>
      </c>
      <c r="AB16" s="410" t="str">
        <f t="shared" si="9"/>
        <v>d.     Home Purchase</v>
      </c>
      <c r="AC16" s="412" t="str">
        <f t="shared" si="7"/>
        <v>Home Purchase</v>
      </c>
    </row>
    <row r="17" spans="1:29" s="142" customFormat="1" ht="21.95" customHeight="1" x14ac:dyDescent="0.25">
      <c r="A17" s="281"/>
      <c r="B17" s="281"/>
      <c r="C17" s="281"/>
      <c r="D17" s="281"/>
      <c r="E17" s="281"/>
      <c r="F17" s="281"/>
      <c r="G17" s="281"/>
      <c r="H17" s="207"/>
      <c r="I17" s="640" t="str">
        <f t="shared" si="0"/>
        <v>e.     Webinars &amp; Technical Assistance</v>
      </c>
      <c r="J17" s="641"/>
      <c r="K17" s="641"/>
      <c r="L17" s="641"/>
      <c r="M17" s="641"/>
      <c r="N17" s="162" t="str">
        <f t="shared" si="1"/>
        <v/>
      </c>
      <c r="O17" s="170" t="str">
        <f t="shared" ca="1" si="2"/>
        <v>Not Started</v>
      </c>
      <c r="P17" s="416" t="str">
        <f t="shared" ca="1" si="3"/>
        <v/>
      </c>
      <c r="Q17" s="454" t="str">
        <f t="shared" si="8"/>
        <v>e.     Promotion of Empowerment</v>
      </c>
      <c r="R17" s="637"/>
      <c r="S17" s="637"/>
      <c r="T17" s="637"/>
      <c r="U17" s="637"/>
      <c r="V17" s="408" t="str">
        <f t="shared" si="4"/>
        <v/>
      </c>
      <c r="W17" s="171" t="str">
        <f t="shared" ca="1" si="5"/>
        <v>Not Started</v>
      </c>
      <c r="X17" s="408" t="str">
        <f t="shared" ca="1" si="6"/>
        <v/>
      </c>
      <c r="Y17" s="207"/>
      <c r="AA17" s="410">
        <v>14</v>
      </c>
      <c r="AB17" s="410" t="str">
        <f t="shared" si="9"/>
        <v>e.     Homeless Housing</v>
      </c>
      <c r="AC17" s="412" t="str">
        <f t="shared" si="7"/>
        <v>Homeless Housing</v>
      </c>
    </row>
    <row r="18" spans="1:29" s="142" customFormat="1" ht="21.95" customHeight="1" x14ac:dyDescent="0.25">
      <c r="A18" s="285" t="s">
        <v>160</v>
      </c>
      <c r="B18" s="305" t="s">
        <v>149</v>
      </c>
      <c r="C18" s="286"/>
      <c r="D18" s="287"/>
      <c r="E18" s="287"/>
      <c r="F18" s="287"/>
      <c r="G18" s="172" t="str">
        <f>B34</f>
        <v>Project Location</v>
      </c>
      <c r="H18" s="207"/>
      <c r="I18" s="640" t="str">
        <f t="shared" si="0"/>
        <v>f.     Project Type and Characteristics</v>
      </c>
      <c r="J18" s="641"/>
      <c r="K18" s="641"/>
      <c r="L18" s="641"/>
      <c r="M18" s="641"/>
      <c r="N18" s="162" t="str">
        <f t="shared" si="1"/>
        <v/>
      </c>
      <c r="O18" s="170" t="str">
        <f t="shared" ca="1" si="2"/>
        <v>Not Started</v>
      </c>
      <c r="P18" s="416" t="str">
        <f t="shared" ca="1" si="3"/>
        <v/>
      </c>
      <c r="Q18" s="454" t="str">
        <f t="shared" si="8"/>
        <v>f.     Special Needs</v>
      </c>
      <c r="R18" s="637"/>
      <c r="S18" s="637"/>
      <c r="T18" s="637"/>
      <c r="U18" s="637"/>
      <c r="V18" s="408" t="str">
        <f t="shared" si="4"/>
        <v/>
      </c>
      <c r="W18" s="171" t="str">
        <f t="shared" ca="1" si="5"/>
        <v>Not Started</v>
      </c>
      <c r="X18" s="408" t="str">
        <f t="shared" ca="1" si="6"/>
        <v/>
      </c>
      <c r="Y18" s="207"/>
      <c r="AA18" s="410">
        <v>16</v>
      </c>
      <c r="AB18" s="410" t="str">
        <f t="shared" si="9"/>
        <v>f.     Special Needs</v>
      </c>
      <c r="AC18" s="412" t="str">
        <f t="shared" si="7"/>
        <v>Special Needs</v>
      </c>
    </row>
    <row r="19" spans="1:29" s="142" customFormat="1" ht="21.95" customHeight="1" x14ac:dyDescent="0.25">
      <c r="A19" s="273" t="s">
        <v>60</v>
      </c>
      <c r="B19" s="288" t="str">
        <f>IF(I31=0,"",I31)</f>
        <v/>
      </c>
      <c r="C19" s="281">
        <f ca="1">VLOOKUP(A19,DB_TBL_DATA_FIELDS[[FIELD_ID]:[PCT_CALC_FIELD_STATUS_CODE]],22,FALSE)</f>
        <v>1</v>
      </c>
      <c r="D19" s="281" t="str">
        <f>IF(VLOOKUP(A19,DB_TBL_DATA_FIELDS[[FIELD_ID]:[ERROR_MESSAGE]],23,FALSE)&lt;&gt;0,VLOOKUP(A19,DB_TBL_DATA_FIELDS[[FIELD_ID]:[ERROR_MESSAGE]],23,FALSE),"")</f>
        <v/>
      </c>
      <c r="E19" s="281">
        <f>VLOOKUP(A19,DB_TBL_DATA_FIELDS[[#All],[FIELD_ID]:[RANGE_VALIDATION_MAX]],18,FALSE)</f>
        <v>0</v>
      </c>
      <c r="F19" s="281">
        <f>VLOOKUP(A19,DB_TBL_DATA_FIELDS[[#All],[FIELD_ID]:[RANGE_VALIDATION_MAX]],19,FALSE)</f>
        <v>100</v>
      </c>
      <c r="G19" s="281">
        <f ca="1">IF(C19&lt;0,"",C19)</f>
        <v>1</v>
      </c>
      <c r="H19" s="207"/>
      <c r="I19" s="638" t="s">
        <v>3599</v>
      </c>
      <c r="J19" s="639"/>
      <c r="K19" s="639"/>
      <c r="L19" s="639"/>
      <c r="M19" s="639"/>
      <c r="N19" s="162"/>
      <c r="O19" s="170"/>
      <c r="P19" s="416"/>
      <c r="Q19" s="454" t="str">
        <f t="shared" si="8"/>
        <v>g.     Rural</v>
      </c>
      <c r="R19" s="637"/>
      <c r="S19" s="637"/>
      <c r="T19" s="637"/>
      <c r="U19" s="637"/>
      <c r="V19" s="408" t="str">
        <f t="shared" si="4"/>
        <v/>
      </c>
      <c r="W19" s="171" t="str">
        <f t="shared" ca="1" si="5"/>
        <v>Not Started</v>
      </c>
      <c r="X19" s="408" t="str">
        <f t="shared" ca="1" si="6"/>
        <v/>
      </c>
      <c r="Y19" s="207"/>
      <c r="AA19" s="410">
        <v>22</v>
      </c>
      <c r="AB19" s="410" t="str">
        <f t="shared" si="9"/>
        <v>g.     Large Units</v>
      </c>
      <c r="AC19" s="412" t="str">
        <f t="shared" si="7"/>
        <v>Large Units</v>
      </c>
    </row>
    <row r="20" spans="1:29" s="142" customFormat="1" ht="21.95" customHeight="1" x14ac:dyDescent="0.25">
      <c r="A20" s="273" t="s">
        <v>177</v>
      </c>
      <c r="B20" s="288" t="str">
        <f>IF(I33=0,"",I33)</f>
        <v/>
      </c>
      <c r="C20" s="281">
        <f ca="1">VLOOKUP(A20,DB_TBL_DATA_FIELDS[[FIELD_ID]:[PCT_CALC_FIELD_STATUS_CODE]],22,FALSE)</f>
        <v>1</v>
      </c>
      <c r="D20" s="281" t="str">
        <f>IF(VLOOKUP(A20,DB_TBL_DATA_FIELDS[[FIELD_ID]:[ERROR_MESSAGE]],23,FALSE)&lt;&gt;0,VLOOKUP(A20,DB_TBL_DATA_FIELDS[[FIELD_ID]:[ERROR_MESSAGE]],23,FALSE),"")</f>
        <v/>
      </c>
      <c r="E20" s="281">
        <f>VLOOKUP(A20,DB_TBL_DATA_FIELDS[[#All],[FIELD_ID]:[RANGE_VALIDATION_MAX]],18,FALSE)</f>
        <v>0</v>
      </c>
      <c r="F20" s="281">
        <f>VLOOKUP(A20,DB_TBL_DATA_FIELDS[[#All],[FIELD_ID]:[RANGE_VALIDATION_MAX]],19,FALSE)</f>
        <v>60</v>
      </c>
      <c r="G20" s="281">
        <f t="shared" ref="G20:G25" ca="1" si="10">IF(C20&lt;0,"",C20)</f>
        <v>1</v>
      </c>
      <c r="H20" s="207"/>
      <c r="I20" s="640" t="str">
        <f>CHAR(ROW()-$B$14+96)&amp;".     "&amp;IFERROR(VLOOKUP("SECTION_"&amp;(ROW()-$B$14)&amp;"_TOC_LABEL",A:B,2,FALSE),"")</f>
        <v>g.     Timing and Use of Funds</v>
      </c>
      <c r="J20" s="641"/>
      <c r="K20" s="641"/>
      <c r="L20" s="641"/>
      <c r="M20" s="641"/>
      <c r="N20" s="338" t="str">
        <f>IF(IFERROR(VLOOKUP("SECTION_"&amp;(ROW()-$B$14)&amp;"_WARNING_FLAG",A:B,2,FALSE),FALSE),1,"")</f>
        <v/>
      </c>
      <c r="O20" s="170" t="str">
        <f ca="1">IFERROR(VLOOKUP("SECTION_"&amp;(ROW()-$B$14)&amp;"_STATUS_TEXT",A:B,2,FALSE),"")</f>
        <v>Not Started</v>
      </c>
      <c r="P20" s="416" t="str">
        <f ca="1">IFERROR(VLOOKUP("SECTION_"&amp;(ROW()-$B$14)&amp;"_STATUS_CODE",A:B,2,FALSE),"")</f>
        <v/>
      </c>
      <c r="Q20" s="454" t="str">
        <f t="shared" si="8"/>
        <v>h.     Home Purchase</v>
      </c>
      <c r="R20" s="637"/>
      <c r="S20" s="637"/>
      <c r="T20" s="637"/>
      <c r="U20" s="637"/>
      <c r="V20" s="408" t="str">
        <f t="shared" si="4"/>
        <v/>
      </c>
      <c r="W20" s="171" t="str">
        <f t="shared" ca="1" si="5"/>
        <v>Not Started</v>
      </c>
      <c r="X20" s="408" t="str">
        <f t="shared" ca="1" si="6"/>
        <v/>
      </c>
      <c r="Y20" s="207"/>
      <c r="AA20" s="410">
        <v>17</v>
      </c>
      <c r="AB20" s="410" t="str">
        <f t="shared" si="9"/>
        <v>h.     Rural</v>
      </c>
      <c r="AC20" s="412" t="str">
        <f t="shared" si="7"/>
        <v>Rural</v>
      </c>
    </row>
    <row r="21" spans="1:29" s="142" customFormat="1" ht="21.95" customHeight="1" x14ac:dyDescent="0.25">
      <c r="A21" s="273" t="s">
        <v>178</v>
      </c>
      <c r="B21" s="288" t="str">
        <f>IF(Q33=0,"",Q33)</f>
        <v/>
      </c>
      <c r="C21" s="281">
        <f ca="1">VLOOKUP(A21,DB_TBL_DATA_FIELDS[[FIELD_ID]:[PCT_CALC_FIELD_STATUS_CODE]],22,FALSE)</f>
        <v>1</v>
      </c>
      <c r="D21" s="281" t="str">
        <f>IF(VLOOKUP(A21,DB_TBL_DATA_FIELDS[[FIELD_ID]:[ERROR_MESSAGE]],23,FALSE)&lt;&gt;0,VLOOKUP(A21,DB_TBL_DATA_FIELDS[[FIELD_ID]:[ERROR_MESSAGE]],23,FALSE),"")</f>
        <v/>
      </c>
      <c r="E21" s="281">
        <f>VLOOKUP(A21,DB_TBL_DATA_FIELDS[[#All],[FIELD_ID]:[RANGE_VALIDATION_MAX]],18,FALSE)</f>
        <v>0</v>
      </c>
      <c r="F21" s="281">
        <f>VLOOKUP(A21,DB_TBL_DATA_FIELDS[[#All],[FIELD_ID]:[RANGE_VALIDATION_MAX]],19,FALSE)</f>
        <v>30</v>
      </c>
      <c r="G21" s="281">
        <f t="shared" ca="1" si="10"/>
        <v>1</v>
      </c>
      <c r="H21" s="207"/>
      <c r="I21" s="640" t="str">
        <f>CHAR(ROW()-$B$14+96)&amp;".     "&amp;IFERROR(VLOOKUP("SECTION_"&amp;(ROW()-$B$14)&amp;"_TOC_LABEL",A:B,2,FALSE),"")</f>
        <v>h.     Member Involvement</v>
      </c>
      <c r="J21" s="641"/>
      <c r="K21" s="641"/>
      <c r="L21" s="641"/>
      <c r="M21" s="641"/>
      <c r="N21" s="338" t="str">
        <f>IF(IFERROR(VLOOKUP("SECTION_"&amp;(ROW()-$B$14)&amp;"_WARNING_FLAG",A:B,2,FALSE),FALSE),1,"")</f>
        <v/>
      </c>
      <c r="O21" s="170" t="str">
        <f ca="1">IFERROR(VLOOKUP("SECTION_"&amp;(ROW()-$B$14)&amp;"_STATUS_TEXT",A:B,2,FALSE),"")</f>
        <v>Not Started</v>
      </c>
      <c r="P21" s="416" t="str">
        <f ca="1">IFERROR(VLOOKUP("SECTION_"&amp;(ROW()-$B$14)&amp;"_STATUS_CODE",A:B,2,FALSE),"")</f>
        <v/>
      </c>
      <c r="Q21" s="454" t="str">
        <f t="shared" si="8"/>
        <v>i.     In-District Projects</v>
      </c>
      <c r="R21" s="637"/>
      <c r="S21" s="637"/>
      <c r="T21" s="637"/>
      <c r="U21" s="637"/>
      <c r="V21" s="408" t="str">
        <f t="shared" si="4"/>
        <v/>
      </c>
      <c r="W21" s="171" t="str">
        <f t="shared" ca="1" si="5"/>
        <v>Not Started</v>
      </c>
      <c r="X21" s="408" t="str">
        <f t="shared" ca="1" si="6"/>
        <v/>
      </c>
      <c r="Y21" s="207"/>
      <c r="AA21" s="410">
        <v>15</v>
      </c>
      <c r="AB21" s="410" t="str">
        <f t="shared" si="9"/>
        <v>i.     Promotion of Empowerment</v>
      </c>
      <c r="AC21" s="412" t="str">
        <f t="shared" si="7"/>
        <v>Promotion of Empowerment</v>
      </c>
    </row>
    <row r="22" spans="1:29" s="142" customFormat="1" ht="21.95" customHeight="1" x14ac:dyDescent="0.25">
      <c r="A22" s="273" t="s">
        <v>179</v>
      </c>
      <c r="B22" s="288" t="str">
        <f>IF(W33=0,"",W33)</f>
        <v/>
      </c>
      <c r="C22" s="281">
        <f ca="1">VLOOKUP(A22,DB_TBL_DATA_FIELDS[[FIELD_ID]:[PCT_CALC_FIELD_STATUS_CODE]],22,FALSE)</f>
        <v>1</v>
      </c>
      <c r="D22" s="281" t="str">
        <f>IF(VLOOKUP(A22,DB_TBL_DATA_FIELDS[[FIELD_ID]:[ERROR_MESSAGE]],23,FALSE)&lt;&gt;0,VLOOKUP(A22,DB_TBL_DATA_FIELDS[[FIELD_ID]:[ERROR_MESSAGE]],23,FALSE),"")</f>
        <v/>
      </c>
      <c r="E22" s="281">
        <f>VLOOKUP(A22,DB_TBL_DATA_FIELDS[[#All],[FIELD_ID]:[RANGE_VALIDATION_MAX]],18,FALSE)</f>
        <v>2</v>
      </c>
      <c r="F22" s="281">
        <f>VLOOKUP(A22,DB_TBL_DATA_FIELDS[[#All],[FIELD_ID]:[RANGE_VALIDATION_MAX]],19,FALSE)</f>
        <v>2</v>
      </c>
      <c r="G22" s="281">
        <f t="shared" ca="1" si="10"/>
        <v>1</v>
      </c>
      <c r="H22" s="207"/>
      <c r="I22" s="640" t="str">
        <f>CHAR(ROW()-$B$14+96)&amp;".     "&amp;IFERROR(VLOOKUP("SECTION_"&amp;(ROW()-$B$14)&amp;"_TOC_LABEL",A:B,2,FALSE),"")</f>
        <v>i.     Project Sponsor Profile</v>
      </c>
      <c r="J22" s="641"/>
      <c r="K22" s="641"/>
      <c r="L22" s="641"/>
      <c r="M22" s="641"/>
      <c r="N22" s="338" t="str">
        <f ca="1">IF(IFERROR(VLOOKUP("SECTION_"&amp;(ROW()-$B$14)&amp;"_WARNING_FLAG",A:B,2,FALSE),FALSE),1,"")</f>
        <v/>
      </c>
      <c r="O22" s="170" t="str">
        <f ca="1">IFERROR(VLOOKUP("SECTION_"&amp;(ROW()-$B$14)&amp;"_STATUS_TEXT",A:B,2,FALSE),"")</f>
        <v>Not Started</v>
      </c>
      <c r="P22" s="416" t="str">
        <f ca="1">IFERROR(VLOOKUP("SECTION_"&amp;(ROW()-$B$14)&amp;"_STATUS_CODE",A:B,2,FALSE),"")</f>
        <v/>
      </c>
      <c r="Q22" s="454" t="str">
        <f t="shared" si="8"/>
        <v>j.     Project Readiness</v>
      </c>
      <c r="R22" s="637"/>
      <c r="S22" s="637"/>
      <c r="T22" s="637"/>
      <c r="U22" s="637"/>
      <c r="V22" s="408" t="str">
        <f t="shared" si="4"/>
        <v/>
      </c>
      <c r="W22" s="171" t="str">
        <f t="shared" ca="1" si="5"/>
        <v>Not Started</v>
      </c>
      <c r="X22" s="408" t="str">
        <f t="shared" ca="1" si="6"/>
        <v/>
      </c>
      <c r="Y22" s="207"/>
      <c r="AA22" s="410">
        <v>21</v>
      </c>
      <c r="AB22" s="410" t="str">
        <f t="shared" si="9"/>
        <v>j.     Community Stability</v>
      </c>
      <c r="AC22" s="412" t="str">
        <f t="shared" si="7"/>
        <v>Community Stability</v>
      </c>
    </row>
    <row r="23" spans="1:29" s="142" customFormat="1" ht="21.95" customHeight="1" x14ac:dyDescent="0.25">
      <c r="A23" s="273" t="s">
        <v>180</v>
      </c>
      <c r="B23" s="289" t="str">
        <f>IF(AND(I35=0,K35=0),"",IF(I35&lt;&gt;0,TEXT(I35,"00000"),"")&amp;IF(K35&lt;&gt;0,"-"&amp;TEXT(K35,"0000"),""))</f>
        <v/>
      </c>
      <c r="C23" s="281">
        <f ca="1">VLOOKUP(A23,DB_TBL_DATA_FIELDS[[FIELD_ID]:[PCT_CALC_FIELD_STATUS_CODE]],22,FALSE)</f>
        <v>1</v>
      </c>
      <c r="D23" s="281" t="str">
        <f>IF(VLOOKUP(A23,DB_TBL_DATA_FIELDS[[FIELD_ID]:[ERROR_MESSAGE]],23,FALSE)&lt;&gt;0,VLOOKUP(A23,DB_TBL_DATA_FIELDS[[FIELD_ID]:[ERROR_MESSAGE]],23,FALSE),"")</f>
        <v/>
      </c>
      <c r="E23" s="281">
        <f>VLOOKUP(A23,DB_TBL_DATA_FIELDS[[#All],[FIELD_ID]:[RANGE_VALIDATION_MAX]],18,FALSE)</f>
        <v>5</v>
      </c>
      <c r="F23" s="281">
        <f>VLOOKUP(A23,DB_TBL_DATA_FIELDS[[#All],[FIELD_ID]:[RANGE_VALIDATION_MAX]],19,FALSE)</f>
        <v>10</v>
      </c>
      <c r="G23" s="281">
        <f t="shared" ca="1" si="10"/>
        <v>1</v>
      </c>
      <c r="H23" s="207"/>
      <c r="I23" s="640" t="str">
        <f>CHAR(ROW()-$B$14+96)&amp;".     "&amp;IFERROR(VLOOKUP("SECTION_"&amp;(ROW()-$B$14)&amp;"_TOC_LABEL",A:B,2,FALSE),"")</f>
        <v>j.     Development Partner(s)</v>
      </c>
      <c r="J23" s="641"/>
      <c r="K23" s="641"/>
      <c r="L23" s="641"/>
      <c r="M23" s="641"/>
      <c r="N23" s="338" t="str">
        <f>IF(IFERROR(VLOOKUP("SECTION_"&amp;(ROW()-$B$14)&amp;"_WARNING_FLAG",A:B,2,FALSE),FALSE),1,"")</f>
        <v/>
      </c>
      <c r="O23" s="170" t="str">
        <f ca="1">IFERROR(VLOOKUP("SECTION_"&amp;(ROW()-$B$14)&amp;"_STATUS_TEXT",A:B,2,FALSE),"")</f>
        <v>Optional</v>
      </c>
      <c r="P23" s="416">
        <f ca="1">IFERROR(VLOOKUP("SECTION_"&amp;(ROW()-$B$14)&amp;"_STATUS_CODE",A:B,2,FALSE),"")</f>
        <v>2</v>
      </c>
      <c r="Q23" s="454" t="str">
        <f t="shared" si="8"/>
        <v>k.     Community Stability</v>
      </c>
      <c r="R23" s="637"/>
      <c r="S23" s="637"/>
      <c r="T23" s="637"/>
      <c r="U23" s="637"/>
      <c r="V23" s="408" t="str">
        <f t="shared" si="4"/>
        <v/>
      </c>
      <c r="W23" s="171" t="str">
        <f t="shared" ca="1" si="5"/>
        <v>Not Started</v>
      </c>
      <c r="X23" s="408" t="str">
        <f t="shared" ca="1" si="6"/>
        <v/>
      </c>
      <c r="Y23" s="207"/>
      <c r="AA23" s="410">
        <v>20</v>
      </c>
      <c r="AB23" s="410" t="str">
        <f t="shared" si="9"/>
        <v>k.     Project Readiness</v>
      </c>
      <c r="AC23" s="412" t="str">
        <f t="shared" si="7"/>
        <v>Project Readiness</v>
      </c>
    </row>
    <row r="24" spans="1:29" s="142" customFormat="1" ht="21.95" customHeight="1" x14ac:dyDescent="0.25">
      <c r="A24" s="273" t="s">
        <v>182</v>
      </c>
      <c r="B24" s="289" t="str">
        <f>IF(AND(M35=0,O35=0),"",IF(M35&lt;&gt;0,TEXT(M35,"0000"),"")&amp;IF(O35&lt;&gt;"","."&amp;TEXT(O35,"00"),""))</f>
        <v/>
      </c>
      <c r="C24" s="281">
        <f ca="1">VLOOKUP(A24,DB_TBL_DATA_FIELDS[[FIELD_ID]:[PCT_CALC_FIELD_STATUS_CODE]],22,FALSE)</f>
        <v>1</v>
      </c>
      <c r="D24" s="281" t="str">
        <f>IF(VLOOKUP(A24,DB_TBL_DATA_FIELDS[[FIELD_ID]:[ERROR_MESSAGE]],23,FALSE)&lt;&gt;0,VLOOKUP(A24,DB_TBL_DATA_FIELDS[[FIELD_ID]:[ERROR_MESSAGE]],23,FALSE),"")</f>
        <v/>
      </c>
      <c r="E24" s="281">
        <f>VLOOKUP(A24,DB_TBL_DATA_FIELDS[[#All],[FIELD_ID]:[RANGE_VALIDATION_MAX]],18,FALSE)</f>
        <v>7</v>
      </c>
      <c r="F24" s="281">
        <f>VLOOKUP(A24,DB_TBL_DATA_FIELDS[[#All],[FIELD_ID]:[RANGE_VALIDATION_MAX]],19,FALSE)</f>
        <v>8</v>
      </c>
      <c r="G24" s="281">
        <f t="shared" ca="1" si="10"/>
        <v>1</v>
      </c>
      <c r="H24" s="207"/>
      <c r="I24" s="207"/>
      <c r="J24" s="153"/>
      <c r="K24" s="207"/>
      <c r="L24" s="153"/>
      <c r="M24" s="207"/>
      <c r="N24" s="153"/>
      <c r="O24" s="207"/>
      <c r="P24" s="417"/>
      <c r="Q24" s="454" t="str">
        <f>AB24</f>
        <v>l.     In-District Projects</v>
      </c>
      <c r="R24" s="637"/>
      <c r="S24" s="637"/>
      <c r="T24" s="637"/>
      <c r="U24" s="637"/>
      <c r="V24" s="408" t="str">
        <f t="shared" si="4"/>
        <v/>
      </c>
      <c r="W24" s="171" t="str">
        <f t="shared" ca="1" si="5"/>
        <v>Not Started</v>
      </c>
      <c r="X24" s="408" t="str">
        <f t="shared" ca="1" si="6"/>
        <v/>
      </c>
      <c r="Y24" s="207"/>
      <c r="AA24" s="410">
        <v>19</v>
      </c>
      <c r="AB24" s="410" t="str">
        <f>IF(AC24&lt;&gt;"",CHAR(ROW()-$B$14+1+96)&amp;".     "&amp;AC24,"")</f>
        <v>l.     In-District Projects</v>
      </c>
      <c r="AC24" s="412" t="str">
        <f t="shared" si="7"/>
        <v>In-District Projects</v>
      </c>
    </row>
    <row r="25" spans="1:29" s="142" customFormat="1" ht="21.95" customHeight="1" x14ac:dyDescent="0.25">
      <c r="A25" s="273" t="s">
        <v>181</v>
      </c>
      <c r="B25" s="288" t="str">
        <f>IF(Q35=0,"",Q35)</f>
        <v/>
      </c>
      <c r="C25" s="281">
        <f ca="1">VLOOKUP(A25,DB_TBL_DATA_FIELDS[[FIELD_ID]:[PCT_CALC_FIELD_STATUS_CODE]],22,FALSE)</f>
        <v>1</v>
      </c>
      <c r="D25" s="281" t="str">
        <f>IF(VLOOKUP(A25,DB_TBL_DATA_FIELDS[[FIELD_ID]:[ERROR_MESSAGE]],23,FALSE)&lt;&gt;0,VLOOKUP(A25,DB_TBL_DATA_FIELDS[[FIELD_ID]:[ERROR_MESSAGE]],23,FALSE),"")</f>
        <v/>
      </c>
      <c r="E25" s="281">
        <f>VLOOKUP(A25,DB_TBL_DATA_FIELDS[[#All],[FIELD_ID]:[RANGE_VALIDATION_MAX]],18,FALSE)</f>
        <v>0</v>
      </c>
      <c r="F25" s="281">
        <f>VLOOKUP(A25,DB_TBL_DATA_FIELDS[[#All],[FIELD_ID]:[RANGE_VALIDATION_MAX]],19,FALSE)</f>
        <v>38</v>
      </c>
      <c r="G25" s="281">
        <f t="shared" ca="1" si="10"/>
        <v>1</v>
      </c>
      <c r="H25" s="207"/>
      <c r="I25" s="207"/>
      <c r="J25" s="153"/>
      <c r="K25" s="207"/>
      <c r="L25" s="153"/>
      <c r="M25" s="207"/>
      <c r="N25" s="153"/>
      <c r="O25" s="207"/>
      <c r="P25" s="417"/>
      <c r="Q25" s="454" t="str">
        <f t="shared" ref="Q25:Q26" si="11">AB25</f>
        <v>m.     Subsidy per Unit</v>
      </c>
      <c r="R25" s="637"/>
      <c r="S25" s="637"/>
      <c r="T25" s="637"/>
      <c r="U25" s="637"/>
      <c r="V25" s="408" t="str">
        <f t="shared" si="4"/>
        <v/>
      </c>
      <c r="W25" s="171" t="str">
        <f t="shared" ca="1" si="5"/>
        <v>Not Started</v>
      </c>
      <c r="X25" s="408" t="str">
        <f t="shared" ca="1" si="6"/>
        <v/>
      </c>
      <c r="Y25" s="207"/>
      <c r="AA25" s="410">
        <v>23</v>
      </c>
      <c r="AB25" s="410" t="str">
        <f t="shared" si="9"/>
        <v>m.     Subsidy per Unit</v>
      </c>
      <c r="AC25" s="412" t="str">
        <f t="shared" si="7"/>
        <v>Subsidy per Unit</v>
      </c>
    </row>
    <row r="26" spans="1:29" s="142" customFormat="1" ht="21.95" customHeight="1" x14ac:dyDescent="0.25">
      <c r="A26" s="273" t="s">
        <v>3507</v>
      </c>
      <c r="B26" s="288" t="str">
        <f>IF(I37=0,"",I37)</f>
        <v/>
      </c>
      <c r="C26" s="281">
        <f ca="1">VLOOKUP(A26,DB_TBL_DATA_FIELDS[[FIELD_ID]:[PCT_CALC_FIELD_STATUS_CODE]],22,FALSE)</f>
        <v>-1</v>
      </c>
      <c r="D26" s="281" t="str">
        <f>IF(VLOOKUP(A26,DB_TBL_DATA_FIELDS[[FIELD_ID]:[ERROR_MESSAGE]],23,FALSE)&lt;&gt;0,VLOOKUP(A26,DB_TBL_DATA_FIELDS[[FIELD_ID]:[ERROR_MESSAGE]],23,FALSE),"")</f>
        <v/>
      </c>
      <c r="E26" s="281">
        <f>VLOOKUP(A26,DB_TBL_DATA_FIELDS[[#All],[FIELD_ID]:[RANGE_VALIDATION_MAX]],18,FALSE)</f>
        <v>0</v>
      </c>
      <c r="F26" s="281">
        <f>VLOOKUP(A26,DB_TBL_DATA_FIELDS[[#All],[FIELD_ID]:[RANGE_VALIDATION_MAX]],19,FALSE)</f>
        <v>32767</v>
      </c>
      <c r="G26" s="281" t="str">
        <f t="shared" ref="G26" ca="1" si="12">IF(C26&lt;0,"",C26)</f>
        <v/>
      </c>
      <c r="H26" s="207"/>
      <c r="I26" s="207"/>
      <c r="J26" s="153"/>
      <c r="K26" s="207"/>
      <c r="L26" s="153"/>
      <c r="M26" s="207"/>
      <c r="N26" s="153"/>
      <c r="O26" s="207"/>
      <c r="P26" s="417"/>
      <c r="Q26" s="453" t="str">
        <f t="shared" ca="1" si="11"/>
        <v>n.    Score Summary (Estimated Final Score: 0.00)</v>
      </c>
      <c r="R26" s="454"/>
      <c r="S26" s="454"/>
      <c r="T26" s="454"/>
      <c r="U26" s="454"/>
      <c r="V26" s="454"/>
      <c r="W26" s="454"/>
      <c r="X26" s="454"/>
      <c r="Y26" s="207"/>
      <c r="AA26" s="410">
        <v>24</v>
      </c>
      <c r="AB26" s="410" t="str">
        <f ca="1">IF(AC26&lt;&gt;"",CHAR(ROW()-$B$14+1+96)&amp;".    "&amp;AC26,"")</f>
        <v>n.    Score Summary (Estimated Final Score: 0.00)</v>
      </c>
      <c r="AC26" s="412" t="str">
        <f t="shared" ca="1" si="7"/>
        <v>Score Summary (Estimated Final Score: 0.00)</v>
      </c>
    </row>
    <row r="27" spans="1:29" s="142" customFormat="1" ht="21.95" customHeight="1" x14ac:dyDescent="0.25">
      <c r="A27" s="290" t="s">
        <v>159</v>
      </c>
      <c r="B27" s="282" t="str">
        <f>"C"&amp;MATCH(LEFT(A27,LEN(A27)-LEN("_RANGE")),A:A,0)+1&amp;":C"&amp;(ROW()-1)</f>
        <v>C19:C26</v>
      </c>
      <c r="C27" s="281"/>
      <c r="D27" s="281"/>
      <c r="E27" s="281"/>
      <c r="F27" s="281"/>
      <c r="G27" s="281"/>
      <c r="H27" s="207"/>
      <c r="I27" s="207"/>
      <c r="J27" s="153"/>
      <c r="K27" s="207"/>
      <c r="L27" s="153"/>
      <c r="M27" s="207"/>
      <c r="N27" s="153"/>
      <c r="O27" s="207"/>
      <c r="P27" s="153"/>
      <c r="Q27" s="207"/>
      <c r="R27" s="153"/>
      <c r="S27" s="207"/>
      <c r="T27" s="153"/>
      <c r="U27" s="207"/>
      <c r="V27" s="153"/>
      <c r="W27" s="207"/>
      <c r="X27" s="153"/>
      <c r="Y27" s="207"/>
    </row>
    <row r="28" spans="1:29" s="142" customFormat="1" ht="21.95" customHeight="1" thickBot="1" x14ac:dyDescent="0.3">
      <c r="A28" s="290" t="s">
        <v>153</v>
      </c>
      <c r="B28" s="282">
        <f ca="1">COUNTIF(INDIRECT($B27),2)</f>
        <v>0</v>
      </c>
      <c r="C28" s="281"/>
      <c r="D28" s="281"/>
      <c r="E28" s="281"/>
      <c r="F28" s="281"/>
      <c r="G28" s="281"/>
      <c r="H28" s="208"/>
      <c r="I28" s="424" t="str">
        <f>B18</f>
        <v>Project Location</v>
      </c>
      <c r="J28" s="269"/>
      <c r="K28" s="269"/>
      <c r="L28" s="269"/>
      <c r="M28" s="269"/>
      <c r="N28" s="269"/>
      <c r="O28" s="269"/>
      <c r="P28" s="269"/>
      <c r="Q28" s="269"/>
      <c r="R28" s="269"/>
      <c r="S28" s="269"/>
      <c r="T28" s="269"/>
      <c r="U28" s="269"/>
      <c r="V28" s="269"/>
      <c r="W28" s="269"/>
      <c r="X28" s="167" t="str">
        <f ca="1">"Status: "&amp;$B$32</f>
        <v>Status: Not Started</v>
      </c>
      <c r="Y28" s="208"/>
    </row>
    <row r="29" spans="1:29" s="142" customFormat="1" ht="21.95" customHeight="1" x14ac:dyDescent="0.25">
      <c r="A29" s="290" t="s">
        <v>154</v>
      </c>
      <c r="B29" s="282">
        <f ca="1">COUNTIF(INDIRECT($B27),0)+COUNTIF(INDIRECT($B27),1)+COUNTIF(INDIRECT($B27),2)</f>
        <v>7</v>
      </c>
      <c r="C29" s="281"/>
      <c r="D29" s="281"/>
      <c r="E29" s="281"/>
      <c r="F29" s="281"/>
      <c r="G29" s="281"/>
      <c r="H29" s="208"/>
      <c r="I29" s="208"/>
      <c r="J29" s="208"/>
      <c r="K29" s="208"/>
      <c r="L29" s="208"/>
      <c r="M29" s="208"/>
      <c r="N29" s="208"/>
      <c r="O29" s="208"/>
      <c r="P29" s="208"/>
      <c r="Q29" s="208"/>
      <c r="R29" s="208"/>
      <c r="S29" s="208"/>
      <c r="T29" s="208"/>
      <c r="U29" s="208"/>
      <c r="V29" s="208"/>
      <c r="W29" s="208"/>
      <c r="X29" s="208"/>
      <c r="Y29" s="208"/>
    </row>
    <row r="30" spans="1:29" s="142" customFormat="1" ht="21.95" customHeight="1" x14ac:dyDescent="0.25">
      <c r="A30" s="290" t="s">
        <v>155</v>
      </c>
      <c r="B30" s="282">
        <f ca="1">COUNTIF(INDIRECT($B27),0)</f>
        <v>0</v>
      </c>
      <c r="C30" s="281" t="s">
        <v>2607</v>
      </c>
      <c r="D30" s="281"/>
      <c r="E30" s="281"/>
      <c r="F30" s="281"/>
      <c r="G30" s="281"/>
      <c r="H30" s="204"/>
      <c r="I30" s="204" t="s">
        <v>3374</v>
      </c>
      <c r="J30" s="140"/>
      <c r="K30" s="204"/>
      <c r="L30" s="140"/>
      <c r="M30" s="204"/>
      <c r="N30" s="140"/>
      <c r="O30" s="204"/>
      <c r="P30" s="140"/>
      <c r="Q30" s="204"/>
      <c r="R30" s="140"/>
      <c r="S30" s="204"/>
      <c r="T30" s="140"/>
      <c r="U30" s="204"/>
      <c r="V30" s="204"/>
      <c r="W30" s="209"/>
      <c r="X30" s="210" t="str">
        <f>IF(TRUE,"",IF(F19-LEN(I31)&lt;0,"Character Allowance Exceeded",MAX(F19-LEN(I31),0)&amp;" More Characters Allowed"))</f>
        <v/>
      </c>
      <c r="Y30" s="204"/>
    </row>
    <row r="31" spans="1:29" s="142" customFormat="1" ht="21.95" customHeight="1" x14ac:dyDescent="0.2">
      <c r="A31" s="290" t="s">
        <v>156</v>
      </c>
      <c r="B31" s="291">
        <f ca="1">IFERROR(B28/B29,1.01)</f>
        <v>0</v>
      </c>
      <c r="C31" s="281"/>
      <c r="D31" s="281"/>
      <c r="E31" s="281"/>
      <c r="F31" s="281"/>
      <c r="G31" s="281"/>
      <c r="H31" s="204"/>
      <c r="I31" s="466"/>
      <c r="J31" s="647"/>
      <c r="K31" s="647"/>
      <c r="L31" s="647"/>
      <c r="M31" s="647"/>
      <c r="N31" s="647"/>
      <c r="O31" s="647"/>
      <c r="P31" s="647"/>
      <c r="Q31" s="647"/>
      <c r="R31" s="647"/>
      <c r="S31" s="647"/>
      <c r="T31" s="647"/>
      <c r="U31" s="647"/>
      <c r="V31" s="647"/>
      <c r="W31" s="648"/>
      <c r="X31" s="165">
        <f ca="1">G19</f>
        <v>1</v>
      </c>
      <c r="Y31" s="204"/>
    </row>
    <row r="32" spans="1:29" s="142" customFormat="1" ht="21.95" customHeight="1" x14ac:dyDescent="0.25">
      <c r="A32" s="290" t="s">
        <v>157</v>
      </c>
      <c r="B32" s="292" t="str">
        <f ca="1">IF(B30&gt;0,"Data Error(s)",IF(B31=0,"Not Started",IF(B31&lt;1,ROUNDUP(B31*100,0)&amp;"% Done",IF(B31&gt;1,"Optional","Complete"))))</f>
        <v>Not Started</v>
      </c>
      <c r="C32" s="281"/>
      <c r="D32" s="281"/>
      <c r="E32" s="281"/>
      <c r="F32" s="281"/>
      <c r="G32" s="281"/>
      <c r="H32" s="204"/>
      <c r="I32" s="204" t="s">
        <v>220</v>
      </c>
      <c r="J32" s="204"/>
      <c r="K32" s="204"/>
      <c r="L32" s="204"/>
      <c r="M32" s="204"/>
      <c r="N32" s="204"/>
      <c r="O32" s="204"/>
      <c r="P32" s="204"/>
      <c r="Q32" s="204" t="s">
        <v>84</v>
      </c>
      <c r="R32" s="204"/>
      <c r="S32" s="204"/>
      <c r="T32" s="204"/>
      <c r="U32" s="204"/>
      <c r="V32" s="204"/>
      <c r="W32" s="204" t="s">
        <v>85</v>
      </c>
      <c r="X32" s="211"/>
      <c r="Y32" s="204"/>
    </row>
    <row r="33" spans="1:25" s="142" customFormat="1" ht="21.95" customHeight="1" x14ac:dyDescent="0.25">
      <c r="A33" s="290" t="s">
        <v>158</v>
      </c>
      <c r="B33" s="282" t="str">
        <f ca="1">IF(B30&gt;0,0,IF(B31&lt;1,"",2))</f>
        <v/>
      </c>
      <c r="C33" s="281"/>
      <c r="D33" s="281"/>
      <c r="E33" s="281"/>
      <c r="F33" s="281"/>
      <c r="G33" s="281"/>
      <c r="H33" s="204"/>
      <c r="I33" s="466"/>
      <c r="J33" s="467"/>
      <c r="K33" s="467"/>
      <c r="L33" s="467"/>
      <c r="M33" s="467"/>
      <c r="N33" s="467"/>
      <c r="O33" s="468"/>
      <c r="P33" s="165">
        <f ca="1">G20</f>
        <v>1</v>
      </c>
      <c r="Q33" s="466"/>
      <c r="R33" s="467"/>
      <c r="S33" s="467"/>
      <c r="T33" s="467"/>
      <c r="U33" s="468"/>
      <c r="V33" s="165">
        <f ca="1">G21</f>
        <v>1</v>
      </c>
      <c r="W33" s="316"/>
      <c r="X33" s="165">
        <f ca="1">G22</f>
        <v>1</v>
      </c>
      <c r="Y33" s="204"/>
    </row>
    <row r="34" spans="1:25" s="142" customFormat="1" ht="21.95" customHeight="1" x14ac:dyDescent="0.25">
      <c r="A34" s="290" t="s">
        <v>161</v>
      </c>
      <c r="B34" s="293" t="s">
        <v>149</v>
      </c>
      <c r="C34" s="281"/>
      <c r="D34" s="281"/>
      <c r="E34" s="281"/>
      <c r="F34" s="281"/>
      <c r="G34" s="281"/>
      <c r="H34" s="204"/>
      <c r="I34" s="204" t="s">
        <v>3419</v>
      </c>
      <c r="J34" s="140"/>
      <c r="K34" s="204"/>
      <c r="L34" s="140"/>
      <c r="M34" s="204" t="s">
        <v>2384</v>
      </c>
      <c r="N34" s="140"/>
      <c r="O34" s="204"/>
      <c r="P34" s="140"/>
      <c r="Q34" s="204" t="s">
        <v>145</v>
      </c>
      <c r="R34" s="140"/>
      <c r="S34" s="204"/>
      <c r="T34" s="140"/>
      <c r="U34" s="204"/>
      <c r="V34" s="140"/>
      <c r="W34" s="204"/>
      <c r="X34" s="204"/>
      <c r="Y34" s="204"/>
    </row>
    <row r="35" spans="1:25" s="142" customFormat="1" ht="21.95" customHeight="1" x14ac:dyDescent="0.25">
      <c r="A35" s="294" t="s">
        <v>2342</v>
      </c>
      <c r="B35" s="282">
        <v>0</v>
      </c>
      <c r="C35" s="281" t="s">
        <v>2462</v>
      </c>
      <c r="D35" s="281"/>
      <c r="E35" s="281"/>
      <c r="F35" s="281"/>
      <c r="G35" s="281"/>
      <c r="H35" s="204"/>
      <c r="I35" s="213"/>
      <c r="J35" s="271" t="s">
        <v>86</v>
      </c>
      <c r="K35" s="214"/>
      <c r="L35" s="165">
        <f ca="1">G23</f>
        <v>1</v>
      </c>
      <c r="M35" s="334"/>
      <c r="N35" s="272" t="s">
        <v>146</v>
      </c>
      <c r="O35" s="335"/>
      <c r="P35" s="165">
        <f ca="1">G24</f>
        <v>1</v>
      </c>
      <c r="Q35" s="466"/>
      <c r="R35" s="467"/>
      <c r="S35" s="467"/>
      <c r="T35" s="467"/>
      <c r="U35" s="467"/>
      <c r="V35" s="467"/>
      <c r="W35" s="468"/>
      <c r="X35" s="165">
        <f ca="1">G25</f>
        <v>1</v>
      </c>
      <c r="Y35" s="204"/>
    </row>
    <row r="36" spans="1:25" s="142" customFormat="1" ht="21.95" customHeight="1" x14ac:dyDescent="0.25">
      <c r="A36" s="294" t="s">
        <v>2343</v>
      </c>
      <c r="B36" s="282" t="b">
        <f>(B35&gt;0)</f>
        <v>0</v>
      </c>
      <c r="C36" s="281"/>
      <c r="D36" s="281"/>
      <c r="E36" s="281"/>
      <c r="F36" s="281"/>
      <c r="G36" s="281"/>
      <c r="H36" s="204"/>
      <c r="I36" s="204" t="s">
        <v>3510</v>
      </c>
      <c r="J36" s="204"/>
      <c r="K36" s="204"/>
      <c r="L36" s="204"/>
      <c r="M36" s="204"/>
      <c r="N36" s="204"/>
      <c r="O36" s="208"/>
      <c r="P36" s="153"/>
      <c r="Q36" s="207"/>
      <c r="R36" s="153"/>
      <c r="S36" s="207"/>
      <c r="T36" s="153"/>
      <c r="U36" s="207"/>
      <c r="V36" s="153"/>
      <c r="W36" s="207"/>
      <c r="X36" s="153"/>
      <c r="Y36" s="204"/>
    </row>
    <row r="37" spans="1:25" s="142" customFormat="1" ht="21.95" customHeight="1" x14ac:dyDescent="0.25">
      <c r="A37" s="285" t="s">
        <v>162</v>
      </c>
      <c r="B37" s="305" t="s">
        <v>2404</v>
      </c>
      <c r="C37" s="286"/>
      <c r="D37" s="287"/>
      <c r="E37" s="287"/>
      <c r="F37" s="287"/>
      <c r="G37" s="172" t="str">
        <f>B54</f>
        <v>Member Information</v>
      </c>
      <c r="H37" s="204"/>
      <c r="I37" s="729"/>
      <c r="J37" s="730"/>
      <c r="K37" s="730"/>
      <c r="L37" s="730"/>
      <c r="M37" s="730"/>
      <c r="N37" s="730"/>
      <c r="O37" s="730"/>
      <c r="P37" s="730"/>
      <c r="Q37" s="730"/>
      <c r="R37" s="730"/>
      <c r="S37" s="730"/>
      <c r="T37" s="730"/>
      <c r="U37" s="730"/>
      <c r="V37" s="730"/>
      <c r="W37" s="731"/>
      <c r="X37" s="153" t="str">
        <f ca="1">G26</f>
        <v/>
      </c>
      <c r="Y37" s="204"/>
    </row>
    <row r="38" spans="1:25" s="142" customFormat="1" ht="21.95" customHeight="1" x14ac:dyDescent="0.25">
      <c r="A38" s="273" t="s">
        <v>2395</v>
      </c>
      <c r="B38" s="288" t="str">
        <f>IF(I44=0,"",I44)</f>
        <v/>
      </c>
      <c r="C38" s="281">
        <f ca="1">VLOOKUP(A38,DB_TBL_DATA_FIELDS[[FIELD_ID]:[PCT_CALC_FIELD_STATUS_CODE]],22,FALSE)</f>
        <v>1</v>
      </c>
      <c r="D38" s="281" t="str">
        <f>IF(VLOOKUP(A38,DB_TBL_DATA_FIELDS[[FIELD_ID]:[ERROR_MESSAGE]],23,FALSE)&lt;&gt;0,VLOOKUP(A38,DB_TBL_DATA_FIELDS[[FIELD_ID]:[ERROR_MESSAGE]],23,FALSE),"")</f>
        <v/>
      </c>
      <c r="E38" s="281">
        <f>VLOOKUP(A38,DB_TBL_DATA_FIELDS[[#All],[FIELD_ID]:[RANGE_VALIDATION_MAX]],18,FALSE)</f>
        <v>0</v>
      </c>
      <c r="F38" s="281">
        <f>VLOOKUP(A38,DB_TBL_DATA_FIELDS[[#All],[FIELD_ID]:[RANGE_VALIDATION_MAX]],19,FALSE)</f>
        <v>150</v>
      </c>
      <c r="G38" s="281">
        <f t="shared" ref="G38:G45" ca="1" si="13">IF(C38&lt;0,"",C38)</f>
        <v>1</v>
      </c>
      <c r="H38" s="204"/>
      <c r="I38" s="732"/>
      <c r="J38" s="733"/>
      <c r="K38" s="733"/>
      <c r="L38" s="733"/>
      <c r="M38" s="733"/>
      <c r="N38" s="733"/>
      <c r="O38" s="733"/>
      <c r="P38" s="733"/>
      <c r="Q38" s="733"/>
      <c r="R38" s="733"/>
      <c r="S38" s="733"/>
      <c r="T38" s="733"/>
      <c r="U38" s="733"/>
      <c r="V38" s="733"/>
      <c r="W38" s="734"/>
      <c r="X38" s="153"/>
      <c r="Y38" s="204"/>
    </row>
    <row r="39" spans="1:25" s="142" customFormat="1" ht="21.95" customHeight="1" x14ac:dyDescent="0.2">
      <c r="A39" s="273" t="s">
        <v>2396</v>
      </c>
      <c r="B39" s="288" t="str">
        <f>IF(I46=0,"",I46)</f>
        <v/>
      </c>
      <c r="C39" s="281">
        <f ca="1">VLOOKUP(A39,DB_TBL_DATA_FIELDS[[FIELD_ID]:[PCT_CALC_FIELD_STATUS_CODE]],22,FALSE)</f>
        <v>1</v>
      </c>
      <c r="D39" s="281" t="str">
        <f>IF(VLOOKUP(A39,DB_TBL_DATA_FIELDS[[FIELD_ID]:[ERROR_MESSAGE]],23,FALSE)&lt;&gt;0,VLOOKUP(A39,DB_TBL_DATA_FIELDS[[FIELD_ID]:[ERROR_MESSAGE]],23,FALSE),"")</f>
        <v/>
      </c>
      <c r="E39" s="281">
        <f>VLOOKUP(A39,DB_TBL_DATA_FIELDS[[#All],[FIELD_ID]:[RANGE_VALIDATION_MAX]],18,FALSE)</f>
        <v>0</v>
      </c>
      <c r="F39" s="281">
        <f>VLOOKUP(A39,DB_TBL_DATA_FIELDS[[#All],[FIELD_ID]:[RANGE_VALIDATION_MAX]],19,FALSE)</f>
        <v>150</v>
      </c>
      <c r="G39" s="281">
        <f t="shared" ca="1" si="13"/>
        <v>1</v>
      </c>
      <c r="H39" s="204"/>
      <c r="I39" s="174" t="s">
        <v>3420</v>
      </c>
      <c r="J39" s="204"/>
      <c r="K39" s="204"/>
      <c r="L39" s="204"/>
      <c r="M39" s="204"/>
      <c r="N39" s="204"/>
      <c r="O39" s="208"/>
      <c r="P39" s="153"/>
      <c r="Q39" s="207"/>
      <c r="R39" s="153"/>
      <c r="S39" s="207"/>
      <c r="T39" s="153"/>
      <c r="U39" s="207"/>
      <c r="V39" s="153"/>
      <c r="W39" s="207"/>
      <c r="X39" s="153"/>
      <c r="Y39" s="204"/>
    </row>
    <row r="40" spans="1:25" s="142" customFormat="1" ht="21.95" customHeight="1" x14ac:dyDescent="0.25">
      <c r="A40" s="273" t="s">
        <v>2397</v>
      </c>
      <c r="B40" s="288" t="str">
        <f>IF(Q46=0,"",Q46)</f>
        <v/>
      </c>
      <c r="C40" s="281">
        <f ca="1">VLOOKUP(A40,DB_TBL_DATA_FIELDS[[FIELD_ID]:[PCT_CALC_FIELD_STATUS_CODE]],22,FALSE)</f>
        <v>1</v>
      </c>
      <c r="D40" s="281" t="str">
        <f>IF(VLOOKUP(A40,DB_TBL_DATA_FIELDS[[FIELD_ID]:[ERROR_MESSAGE]],23,FALSE)&lt;&gt;0,VLOOKUP(A40,DB_TBL_DATA_FIELDS[[FIELD_ID]:[ERROR_MESSAGE]],23,FALSE),"")</f>
        <v/>
      </c>
      <c r="E40" s="281">
        <f>VLOOKUP(A40,DB_TBL_DATA_FIELDS[[#All],[FIELD_ID]:[RANGE_VALIDATION_MAX]],18,FALSE)</f>
        <v>0</v>
      </c>
      <c r="F40" s="281">
        <f>VLOOKUP(A40,DB_TBL_DATA_FIELDS[[#All],[FIELD_ID]:[RANGE_VALIDATION_MAX]],19,FALSE)</f>
        <v>150</v>
      </c>
      <c r="G40" s="281">
        <f t="shared" ca="1" si="13"/>
        <v>1</v>
      </c>
      <c r="H40" s="207"/>
      <c r="I40" s="208"/>
      <c r="J40" s="204"/>
      <c r="K40" s="204"/>
      <c r="L40" s="204"/>
      <c r="M40" s="204"/>
      <c r="N40" s="204"/>
      <c r="O40" s="208"/>
      <c r="P40" s="153"/>
      <c r="Q40" s="207"/>
      <c r="R40" s="153"/>
      <c r="S40" s="207"/>
      <c r="T40" s="153"/>
      <c r="U40" s="207"/>
      <c r="V40" s="153"/>
      <c r="W40" s="207"/>
      <c r="X40" s="153"/>
      <c r="Y40" s="207"/>
    </row>
    <row r="41" spans="1:25" s="142" customFormat="1" ht="21.95" customHeight="1" thickBot="1" x14ac:dyDescent="0.3">
      <c r="A41" s="273" t="s">
        <v>2398</v>
      </c>
      <c r="B41" s="288" t="str">
        <f>IF(I48=0,"",I48)</f>
        <v/>
      </c>
      <c r="C41" s="281">
        <f ca="1">VLOOKUP(A41,DB_TBL_DATA_FIELDS[[FIELD_ID]:[PCT_CALC_FIELD_STATUS_CODE]],22,FALSE)</f>
        <v>1</v>
      </c>
      <c r="D41" s="281" t="str">
        <f>IF(VLOOKUP(A41,DB_TBL_DATA_FIELDS[[FIELD_ID]:[ERROR_MESSAGE]],23,FALSE)&lt;&gt;0,VLOOKUP(A41,DB_TBL_DATA_FIELDS[[FIELD_ID]:[ERROR_MESSAGE]],23,FALSE),"")</f>
        <v/>
      </c>
      <c r="E41" s="281">
        <f>VLOOKUP(A41,DB_TBL_DATA_FIELDS[[#All],[FIELD_ID]:[RANGE_VALIDATION_MAX]],18,FALSE)</f>
        <v>0</v>
      </c>
      <c r="F41" s="281">
        <f>VLOOKUP(A41,DB_TBL_DATA_FIELDS[[#All],[FIELD_ID]:[RANGE_VALIDATION_MAX]],19,FALSE)</f>
        <v>60</v>
      </c>
      <c r="G41" s="281">
        <f t="shared" ca="1" si="13"/>
        <v>1</v>
      </c>
      <c r="H41" s="207"/>
      <c r="I41" s="424" t="str">
        <f>B37</f>
        <v>Member Information</v>
      </c>
      <c r="J41" s="269"/>
      <c r="K41" s="269"/>
      <c r="L41" s="269"/>
      <c r="M41" s="269"/>
      <c r="N41" s="269"/>
      <c r="O41" s="269"/>
      <c r="P41" s="269"/>
      <c r="Q41" s="269"/>
      <c r="R41" s="269"/>
      <c r="S41" s="269"/>
      <c r="T41" s="269"/>
      <c r="U41" s="269"/>
      <c r="V41" s="269"/>
      <c r="W41" s="269"/>
      <c r="X41" s="167" t="str">
        <f ca="1">"Status: "&amp;$B$52</f>
        <v>Status: Not Started</v>
      </c>
      <c r="Y41" s="207"/>
    </row>
    <row r="42" spans="1:25" s="142" customFormat="1" ht="21.95" customHeight="1" x14ac:dyDescent="0.25">
      <c r="A42" s="273" t="s">
        <v>2399</v>
      </c>
      <c r="B42" s="288" t="str">
        <f>IF(O48=0,"",O48)</f>
        <v/>
      </c>
      <c r="C42" s="281">
        <f ca="1">VLOOKUP(A42,DB_TBL_DATA_FIELDS[[FIELD_ID]:[PCT_CALC_FIELD_STATUS_CODE]],22,FALSE)</f>
        <v>1</v>
      </c>
      <c r="D42" s="281" t="str">
        <f>IF(VLOOKUP(A42,DB_TBL_DATA_FIELDS[[FIELD_ID]:[ERROR_MESSAGE]],23,FALSE)&lt;&gt;0,VLOOKUP(A42,DB_TBL_DATA_FIELDS[[FIELD_ID]:[ERROR_MESSAGE]],23,FALSE),"")</f>
        <v/>
      </c>
      <c r="E42" s="281">
        <f>VLOOKUP(A42,DB_TBL_DATA_FIELDS[[#All],[FIELD_ID]:[RANGE_VALIDATION_MAX]],18,FALSE)</f>
        <v>0</v>
      </c>
      <c r="F42" s="281">
        <f>VLOOKUP(A42,DB_TBL_DATA_FIELDS[[#All],[FIELD_ID]:[RANGE_VALIDATION_MAX]],19,FALSE)</f>
        <v>30</v>
      </c>
      <c r="G42" s="281">
        <f t="shared" ca="1" si="13"/>
        <v>1</v>
      </c>
      <c r="H42" s="207"/>
      <c r="I42" s="207"/>
      <c r="J42" s="153"/>
      <c r="K42" s="207"/>
      <c r="L42" s="153"/>
      <c r="M42" s="207"/>
      <c r="N42" s="153"/>
      <c r="O42" s="207"/>
      <c r="P42" s="153"/>
      <c r="Q42" s="207"/>
      <c r="R42" s="153"/>
      <c r="S42" s="207"/>
      <c r="T42" s="153"/>
      <c r="U42" s="207"/>
      <c r="V42" s="153"/>
      <c r="W42" s="207"/>
      <c r="X42" s="153"/>
      <c r="Y42" s="207"/>
    </row>
    <row r="43" spans="1:25" s="142" customFormat="1" ht="21.95" customHeight="1" x14ac:dyDescent="0.25">
      <c r="A43" s="273" t="s">
        <v>2400</v>
      </c>
      <c r="B43" s="288" t="str">
        <f>IF(S48=0,"",S48)</f>
        <v/>
      </c>
      <c r="C43" s="281">
        <f ca="1">VLOOKUP(A43,DB_TBL_DATA_FIELDS[[FIELD_ID]:[PCT_CALC_FIELD_STATUS_CODE]],22,FALSE)</f>
        <v>1</v>
      </c>
      <c r="D43" s="281" t="str">
        <f>IF(VLOOKUP(A43,DB_TBL_DATA_FIELDS[[FIELD_ID]:[ERROR_MESSAGE]],23,FALSE)&lt;&gt;0,VLOOKUP(A43,DB_TBL_DATA_FIELDS[[FIELD_ID]:[ERROR_MESSAGE]],23,FALSE),"")</f>
        <v/>
      </c>
      <c r="E43" s="281">
        <f>VLOOKUP(A43,DB_TBL_DATA_FIELDS[[#All],[FIELD_ID]:[RANGE_VALIDATION_MAX]],18,FALSE)</f>
        <v>2</v>
      </c>
      <c r="F43" s="281">
        <f>VLOOKUP(A43,DB_TBL_DATA_FIELDS[[#All],[FIELD_ID]:[RANGE_VALIDATION_MAX]],19,FALSE)</f>
        <v>2</v>
      </c>
      <c r="G43" s="281">
        <f t="shared" ca="1" si="13"/>
        <v>1</v>
      </c>
      <c r="H43" s="207"/>
      <c r="I43" s="204" t="s">
        <v>3375</v>
      </c>
      <c r="J43" s="153"/>
      <c r="K43" s="207"/>
      <c r="L43" s="153"/>
      <c r="M43" s="207"/>
      <c r="N43" s="153"/>
      <c r="O43" s="207"/>
      <c r="P43" s="153"/>
      <c r="Q43" s="207"/>
      <c r="R43" s="153"/>
      <c r="S43" s="207"/>
      <c r="T43" s="153"/>
      <c r="U43" s="204"/>
      <c r="V43" s="204"/>
      <c r="W43" s="204"/>
      <c r="X43" s="204"/>
      <c r="Y43" s="207"/>
    </row>
    <row r="44" spans="1:25" s="142" customFormat="1" ht="21.95" customHeight="1" x14ac:dyDescent="0.25">
      <c r="A44" s="273" t="s">
        <v>2401</v>
      </c>
      <c r="B44" s="289" t="str">
        <f>IF(AND(U48=0,W48=0),"",IF(U48&lt;&gt;0,TEXT(U48,"00000"),"")&amp;IF(W48&lt;&gt;0,"-"&amp;TEXT(W48,"0000"),""))</f>
        <v/>
      </c>
      <c r="C44" s="281">
        <f ca="1">VLOOKUP(A44,DB_TBL_DATA_FIELDS[[FIELD_ID]:[PCT_CALC_FIELD_STATUS_CODE]],22,FALSE)</f>
        <v>1</v>
      </c>
      <c r="D44" s="281" t="str">
        <f>IF(VLOOKUP(A44,DB_TBL_DATA_FIELDS[[FIELD_ID]:[ERROR_MESSAGE]],23,FALSE)&lt;&gt;0,VLOOKUP(A44,DB_TBL_DATA_FIELDS[[FIELD_ID]:[ERROR_MESSAGE]],23,FALSE),"")</f>
        <v/>
      </c>
      <c r="E44" s="281">
        <f>VLOOKUP(A44,DB_TBL_DATA_FIELDS[[#All],[FIELD_ID]:[RANGE_VALIDATION_MAX]],18,FALSE)</f>
        <v>5</v>
      </c>
      <c r="F44" s="281">
        <f>VLOOKUP(A44,DB_TBL_DATA_FIELDS[[#All],[FIELD_ID]:[RANGE_VALIDATION_MAX]],19,FALSE)</f>
        <v>10</v>
      </c>
      <c r="G44" s="281">
        <f t="shared" ca="1" si="13"/>
        <v>1</v>
      </c>
      <c r="H44" s="207"/>
      <c r="I44" s="466"/>
      <c r="J44" s="467"/>
      <c r="K44" s="467"/>
      <c r="L44" s="467"/>
      <c r="M44" s="467"/>
      <c r="N44" s="467"/>
      <c r="O44" s="467"/>
      <c r="P44" s="467"/>
      <c r="Q44" s="467"/>
      <c r="R44" s="467"/>
      <c r="S44" s="467"/>
      <c r="T44" s="467"/>
      <c r="U44" s="467"/>
      <c r="V44" s="467"/>
      <c r="W44" s="468"/>
      <c r="X44" s="165">
        <f ca="1">G38</f>
        <v>1</v>
      </c>
      <c r="Y44" s="207"/>
    </row>
    <row r="45" spans="1:25" ht="21.95" customHeight="1" x14ac:dyDescent="0.2">
      <c r="A45" s="273" t="s">
        <v>2402</v>
      </c>
      <c r="B45" s="288" t="str">
        <f>IF(I50=0,"",I50)</f>
        <v/>
      </c>
      <c r="C45" s="281">
        <f ca="1">VLOOKUP(A45,DB_TBL_DATA_FIELDS[[FIELD_ID]:[PCT_CALC_FIELD_STATUS_CODE]],22,FALSE)</f>
        <v>1</v>
      </c>
      <c r="D45" s="281" t="str">
        <f ca="1">IF(VLOOKUP(A45,DB_TBL_DATA_FIELDS[[FIELD_ID]:[ERROR_MESSAGE]],23,FALSE)&lt;&gt;0,VLOOKUP(A45,DB_TBL_DATA_FIELDS[[FIELD_ID]:[ERROR_MESSAGE]],23,FALSE),"")</f>
        <v/>
      </c>
      <c r="E45" s="281">
        <f>VLOOKUP(A45,DB_TBL_DATA_FIELDS[[#All],[FIELD_ID]:[RANGE_VALIDATION_MAX]],18,FALSE)</f>
        <v>0</v>
      </c>
      <c r="F45" s="281">
        <f>VLOOKUP(A45,DB_TBL_DATA_FIELDS[[#All],[FIELD_ID]:[RANGE_VALIDATION_MAX]],19,FALSE)</f>
        <v>150</v>
      </c>
      <c r="G45" s="281">
        <f t="shared" ca="1" si="13"/>
        <v>1</v>
      </c>
      <c r="H45" s="207"/>
      <c r="I45" s="204" t="s">
        <v>3376</v>
      </c>
      <c r="J45" s="140"/>
      <c r="K45" s="204"/>
      <c r="L45" s="140"/>
      <c r="M45" s="204"/>
      <c r="N45" s="140"/>
      <c r="O45" s="204"/>
      <c r="P45" s="140"/>
      <c r="Q45" s="204" t="s">
        <v>219</v>
      </c>
      <c r="R45" s="140"/>
      <c r="S45" s="204"/>
      <c r="T45" s="140"/>
      <c r="U45" s="207"/>
      <c r="V45" s="153"/>
      <c r="W45" s="207"/>
      <c r="X45" s="165"/>
      <c r="Y45" s="207"/>
    </row>
    <row r="46" spans="1:25" ht="21.95" customHeight="1" x14ac:dyDescent="0.2">
      <c r="A46" s="273" t="s">
        <v>2403</v>
      </c>
      <c r="B46" s="288" t="str">
        <f>IF(Q50=0,"",Q50)</f>
        <v/>
      </c>
      <c r="C46" s="281">
        <f ca="1">VLOOKUP(A46,DB_TBL_DATA_FIELDS[[FIELD_ID]:[PCT_CALC_FIELD_STATUS_CODE]],22,FALSE)</f>
        <v>1</v>
      </c>
      <c r="D46" s="281" t="str">
        <f>IF(VLOOKUP(A46,DB_TBL_DATA_FIELDS[[FIELD_ID]:[ERROR_MESSAGE]],23,FALSE)&lt;&gt;0,VLOOKUP(A46,DB_TBL_DATA_FIELDS[[FIELD_ID]:[ERROR_MESSAGE]],23,FALSE),"")</f>
        <v/>
      </c>
      <c r="E46" s="281">
        <f>VLOOKUP(A46,DB_TBL_DATA_FIELDS[[#All],[FIELD_ID]:[RANGE_VALIDATION_MAX]],18,FALSE)</f>
        <v>0</v>
      </c>
      <c r="F46" s="281">
        <f>VLOOKUP(A46,DB_TBL_DATA_FIELDS[[#All],[FIELD_ID]:[RANGE_VALIDATION_MAX]],19,FALSE)</f>
        <v>150</v>
      </c>
      <c r="G46" s="281">
        <f ca="1">IF(C46&lt;0,"",C46)</f>
        <v>1</v>
      </c>
      <c r="H46" s="207"/>
      <c r="I46" s="629"/>
      <c r="J46" s="630"/>
      <c r="K46" s="630"/>
      <c r="L46" s="630"/>
      <c r="M46" s="630"/>
      <c r="N46" s="630"/>
      <c r="O46" s="631"/>
      <c r="P46" s="165">
        <f ca="1">G39</f>
        <v>1</v>
      </c>
      <c r="Q46" s="466"/>
      <c r="R46" s="467"/>
      <c r="S46" s="467"/>
      <c r="T46" s="467"/>
      <c r="U46" s="467"/>
      <c r="V46" s="467"/>
      <c r="W46" s="468"/>
      <c r="X46" s="165">
        <f ca="1">G40</f>
        <v>1</v>
      </c>
      <c r="Y46" s="207"/>
    </row>
    <row r="47" spans="1:25" ht="21.95" customHeight="1" x14ac:dyDescent="0.2">
      <c r="A47" s="290" t="s">
        <v>163</v>
      </c>
      <c r="B47" s="282" t="str">
        <f>"C"&amp;MATCH(LEFT(A47,LEN(A47)-LEN("_RANGE")),A:A,0)+1&amp;":C"&amp;(ROW()-1)</f>
        <v>C38:C46</v>
      </c>
      <c r="C47" s="281"/>
      <c r="D47" s="281"/>
      <c r="E47" s="281"/>
      <c r="F47" s="281"/>
      <c r="G47" s="281"/>
      <c r="H47" s="207"/>
      <c r="I47" s="207" t="s">
        <v>220</v>
      </c>
      <c r="J47" s="153"/>
      <c r="K47" s="207"/>
      <c r="L47" s="153"/>
      <c r="M47" s="204"/>
      <c r="N47" s="140"/>
      <c r="O47" s="204" t="s">
        <v>84</v>
      </c>
      <c r="P47" s="140"/>
      <c r="Q47" s="204"/>
      <c r="R47" s="140"/>
      <c r="S47" s="204" t="s">
        <v>85</v>
      </c>
      <c r="T47" s="140"/>
      <c r="U47" s="204" t="s">
        <v>3419</v>
      </c>
      <c r="V47" s="140"/>
      <c r="W47" s="204"/>
      <c r="X47" s="140"/>
      <c r="Y47" s="207"/>
    </row>
    <row r="48" spans="1:25" ht="21.95" customHeight="1" x14ac:dyDescent="0.2">
      <c r="A48" s="290" t="s">
        <v>164</v>
      </c>
      <c r="B48" s="282">
        <f ca="1">COUNTIF(INDIRECT($B$47),2)</f>
        <v>0</v>
      </c>
      <c r="C48" s="281"/>
      <c r="D48" s="281"/>
      <c r="E48" s="281"/>
      <c r="F48" s="281"/>
      <c r="G48" s="281"/>
      <c r="H48" s="207"/>
      <c r="I48" s="608"/>
      <c r="J48" s="609"/>
      <c r="K48" s="609"/>
      <c r="L48" s="609"/>
      <c r="M48" s="610"/>
      <c r="N48" s="165">
        <f ca="1">G41</f>
        <v>1</v>
      </c>
      <c r="O48" s="466"/>
      <c r="P48" s="467"/>
      <c r="Q48" s="468"/>
      <c r="R48" s="165">
        <f ca="1">G42</f>
        <v>1</v>
      </c>
      <c r="S48" s="316"/>
      <c r="T48" s="165">
        <f ca="1">G43</f>
        <v>1</v>
      </c>
      <c r="U48" s="213"/>
      <c r="V48" s="271" t="s">
        <v>86</v>
      </c>
      <c r="W48" s="214"/>
      <c r="X48" s="165">
        <f ca="1">G44</f>
        <v>1</v>
      </c>
      <c r="Y48" s="207"/>
    </row>
    <row r="49" spans="1:25" ht="21.95" customHeight="1" x14ac:dyDescent="0.2">
      <c r="A49" s="290" t="s">
        <v>165</v>
      </c>
      <c r="B49" s="282">
        <f ca="1">COUNTIF(INDIRECT($B$47),0)+COUNTIF(INDIRECT($B$47),1)+COUNTIF(INDIRECT($B$47),2)</f>
        <v>9</v>
      </c>
      <c r="C49" s="281"/>
      <c r="D49" s="281"/>
      <c r="E49" s="281"/>
      <c r="F49" s="281"/>
      <c r="G49" s="281"/>
      <c r="H49" s="207"/>
      <c r="I49" s="204" t="s">
        <v>3377</v>
      </c>
      <c r="J49" s="140"/>
      <c r="K49" s="204"/>
      <c r="L49" s="140"/>
      <c r="M49" s="204"/>
      <c r="N49" s="140"/>
      <c r="O49" s="207"/>
      <c r="P49" s="153"/>
      <c r="Q49" s="204" t="s">
        <v>3479</v>
      </c>
      <c r="R49" s="140"/>
      <c r="S49" s="204"/>
      <c r="T49" s="140"/>
      <c r="U49" s="207"/>
      <c r="V49" s="153"/>
      <c r="W49" s="175"/>
      <c r="X49" s="153"/>
      <c r="Y49" s="207"/>
    </row>
    <row r="50" spans="1:25" ht="21.95" customHeight="1" x14ac:dyDescent="0.2">
      <c r="A50" s="290" t="s">
        <v>166</v>
      </c>
      <c r="B50" s="282">
        <f ca="1">COUNTIF(INDIRECT($B$47),0)</f>
        <v>0</v>
      </c>
      <c r="C50" s="281" t="s">
        <v>2607</v>
      </c>
      <c r="D50" s="281"/>
      <c r="E50" s="281"/>
      <c r="F50" s="281"/>
      <c r="G50" s="281"/>
      <c r="H50" s="207"/>
      <c r="I50" s="618"/>
      <c r="J50" s="619"/>
      <c r="K50" s="619"/>
      <c r="L50" s="619"/>
      <c r="M50" s="619"/>
      <c r="N50" s="619"/>
      <c r="O50" s="620"/>
      <c r="P50" s="165">
        <f ca="1">G45</f>
        <v>1</v>
      </c>
      <c r="Q50" s="611"/>
      <c r="R50" s="612"/>
      <c r="S50" s="612"/>
      <c r="T50" s="612"/>
      <c r="U50" s="612"/>
      <c r="V50" s="612"/>
      <c r="W50" s="613"/>
      <c r="X50" s="165">
        <f ca="1">G46</f>
        <v>1</v>
      </c>
      <c r="Y50" s="207"/>
    </row>
    <row r="51" spans="1:25" ht="21.95" customHeight="1" x14ac:dyDescent="0.2">
      <c r="A51" s="290" t="s">
        <v>167</v>
      </c>
      <c r="B51" s="291">
        <f ca="1">IFERROR(B48/B49,1.01)</f>
        <v>0</v>
      </c>
      <c r="C51" s="281"/>
      <c r="D51" s="281"/>
      <c r="E51" s="281"/>
      <c r="F51" s="281"/>
      <c r="G51" s="281"/>
      <c r="H51" s="207"/>
      <c r="I51" s="540" t="str">
        <f ca="1">D45</f>
        <v/>
      </c>
      <c r="J51" s="541"/>
      <c r="K51" s="541"/>
      <c r="L51" s="541"/>
      <c r="M51" s="541"/>
      <c r="N51" s="541"/>
      <c r="O51" s="541"/>
      <c r="P51" s="153"/>
      <c r="Q51" s="207"/>
      <c r="R51" s="153"/>
      <c r="S51" s="207"/>
      <c r="T51" s="153"/>
      <c r="U51" s="207"/>
      <c r="V51" s="153"/>
      <c r="W51" s="207"/>
      <c r="X51" s="153"/>
      <c r="Y51" s="207"/>
    </row>
    <row r="52" spans="1:25" ht="21.95" customHeight="1" x14ac:dyDescent="0.2">
      <c r="A52" s="290" t="s">
        <v>168</v>
      </c>
      <c r="B52" s="292" t="str">
        <f ca="1">IF(B50&gt;0,"Data Error(s)",IF(B51=0,"Not Started",IF(B51&lt;1,ROUNDUP(B51*100,0)&amp;"% Done",IF(B51&gt;1,"Optional","Complete"))))</f>
        <v>Not Started</v>
      </c>
      <c r="C52" s="281"/>
      <c r="D52" s="281"/>
      <c r="E52" s="281"/>
      <c r="F52" s="281"/>
      <c r="G52" s="281"/>
      <c r="H52" s="204"/>
      <c r="I52" s="176" t="s">
        <v>3420</v>
      </c>
      <c r="J52" s="204"/>
      <c r="K52" s="204"/>
      <c r="L52" s="204"/>
      <c r="M52" s="204"/>
      <c r="N52" s="204"/>
      <c r="O52" s="208"/>
      <c r="P52" s="153"/>
      <c r="Q52" s="207"/>
      <c r="R52" s="153"/>
      <c r="S52" s="207"/>
      <c r="T52" s="153"/>
      <c r="U52" s="207"/>
      <c r="V52" s="153"/>
      <c r="W52" s="207"/>
      <c r="X52" s="153"/>
      <c r="Y52" s="204"/>
    </row>
    <row r="53" spans="1:25" ht="21.95" customHeight="1" x14ac:dyDescent="0.2">
      <c r="A53" s="290" t="s">
        <v>169</v>
      </c>
      <c r="B53" s="282" t="str">
        <f ca="1">IF(B50&gt;0,0,IF(B51&lt;1,"",2))</f>
        <v/>
      </c>
      <c r="C53" s="281"/>
      <c r="D53" s="281"/>
      <c r="E53" s="281"/>
      <c r="F53" s="281"/>
      <c r="G53" s="281"/>
      <c r="H53" s="207"/>
      <c r="I53" s="204"/>
      <c r="J53" s="204"/>
      <c r="K53" s="204"/>
      <c r="L53" s="204"/>
      <c r="M53" s="204"/>
      <c r="N53" s="204"/>
      <c r="O53" s="207"/>
      <c r="P53" s="153"/>
      <c r="Q53" s="207"/>
      <c r="R53" s="153"/>
      <c r="S53" s="207"/>
      <c r="T53" s="153"/>
      <c r="U53" s="207"/>
      <c r="V53" s="153"/>
      <c r="W53" s="207"/>
      <c r="X53" s="153"/>
      <c r="Y53" s="207"/>
    </row>
    <row r="54" spans="1:25" ht="21.95" customHeight="1" thickBot="1" x14ac:dyDescent="0.25">
      <c r="A54" s="290" t="s">
        <v>170</v>
      </c>
      <c r="B54" s="293" t="s">
        <v>2404</v>
      </c>
      <c r="C54" s="281"/>
      <c r="D54" s="281"/>
      <c r="E54" s="281"/>
      <c r="F54" s="281"/>
      <c r="G54" s="281"/>
      <c r="H54" s="207"/>
      <c r="I54" s="424" t="str">
        <f>B57</f>
        <v>Sponsor Information</v>
      </c>
      <c r="J54" s="269"/>
      <c r="K54" s="269"/>
      <c r="L54" s="269"/>
      <c r="M54" s="269"/>
      <c r="N54" s="269"/>
      <c r="O54" s="269"/>
      <c r="P54" s="269"/>
      <c r="Q54" s="269"/>
      <c r="R54" s="269"/>
      <c r="S54" s="269"/>
      <c r="T54" s="269"/>
      <c r="U54" s="269"/>
      <c r="V54" s="269"/>
      <c r="W54" s="269"/>
      <c r="X54" s="167" t="str">
        <f ca="1">"Status: "&amp;$B$72</f>
        <v>Status: Not Started</v>
      </c>
      <c r="Y54" s="207"/>
    </row>
    <row r="55" spans="1:25" ht="21.95" customHeight="1" x14ac:dyDescent="0.2">
      <c r="A55" s="294" t="s">
        <v>2366</v>
      </c>
      <c r="B55" s="282">
        <v>0</v>
      </c>
      <c r="C55" s="281" t="s">
        <v>2462</v>
      </c>
      <c r="D55" s="281"/>
      <c r="E55" s="281"/>
      <c r="F55" s="281"/>
      <c r="G55" s="281"/>
      <c r="H55" s="207"/>
      <c r="I55" s="207"/>
      <c r="J55" s="153"/>
      <c r="K55" s="207"/>
      <c r="L55" s="153"/>
      <c r="M55" s="207"/>
      <c r="N55" s="153"/>
      <c r="O55" s="207"/>
      <c r="P55" s="153"/>
      <c r="Q55" s="207"/>
      <c r="R55" s="153"/>
      <c r="S55" s="207"/>
      <c r="T55" s="153"/>
      <c r="U55" s="207"/>
      <c r="V55" s="153"/>
      <c r="W55" s="207"/>
      <c r="X55" s="153"/>
      <c r="Y55" s="207"/>
    </row>
    <row r="56" spans="1:25" ht="21.95" customHeight="1" x14ac:dyDescent="0.2">
      <c r="A56" s="294" t="s">
        <v>2367</v>
      </c>
      <c r="B56" s="282" t="b">
        <f>(B55&gt;0)</f>
        <v>0</v>
      </c>
      <c r="C56" s="281"/>
      <c r="D56" s="281"/>
      <c r="E56" s="281"/>
      <c r="F56" s="281"/>
      <c r="G56" s="281"/>
      <c r="H56" s="215"/>
      <c r="I56" s="204" t="s">
        <v>3378</v>
      </c>
      <c r="J56" s="153"/>
      <c r="K56" s="207"/>
      <c r="L56" s="153"/>
      <c r="M56" s="207"/>
      <c r="N56" s="153"/>
      <c r="O56" s="207"/>
      <c r="P56" s="153"/>
      <c r="Q56" s="207"/>
      <c r="R56" s="153"/>
      <c r="S56" s="207"/>
      <c r="T56" s="153"/>
      <c r="U56" s="215"/>
      <c r="V56" s="153"/>
      <c r="W56" s="215"/>
      <c r="X56" s="153"/>
      <c r="Y56" s="215"/>
    </row>
    <row r="57" spans="1:25" ht="21.95" customHeight="1" x14ac:dyDescent="0.2">
      <c r="A57" s="285" t="s">
        <v>221</v>
      </c>
      <c r="B57" s="305" t="s">
        <v>2435</v>
      </c>
      <c r="C57" s="286"/>
      <c r="D57" s="287"/>
      <c r="E57" s="287"/>
      <c r="F57" s="287"/>
      <c r="G57" s="172" t="str">
        <f>B74</f>
        <v>Sponsor Information</v>
      </c>
      <c r="H57" s="215"/>
      <c r="I57" s="466"/>
      <c r="J57" s="467"/>
      <c r="K57" s="467"/>
      <c r="L57" s="467"/>
      <c r="M57" s="467"/>
      <c r="N57" s="467"/>
      <c r="O57" s="467"/>
      <c r="P57" s="467"/>
      <c r="Q57" s="467"/>
      <c r="R57" s="467"/>
      <c r="S57" s="467"/>
      <c r="T57" s="467"/>
      <c r="U57" s="467"/>
      <c r="V57" s="467"/>
      <c r="W57" s="468"/>
      <c r="X57" s="165">
        <f ca="1">G58</f>
        <v>1</v>
      </c>
      <c r="Y57" s="215"/>
    </row>
    <row r="58" spans="1:25" ht="21.95" customHeight="1" x14ac:dyDescent="0.2">
      <c r="A58" s="273" t="s">
        <v>193</v>
      </c>
      <c r="B58" s="288" t="str">
        <f>IF(I57=0,"",I57)</f>
        <v/>
      </c>
      <c r="C58" s="281">
        <f ca="1">VLOOKUP(A58,DB_TBL_DATA_FIELDS[[FIELD_ID]:[PCT_CALC_FIELD_STATUS_CODE]],22,FALSE)</f>
        <v>1</v>
      </c>
      <c r="D58" s="281" t="str">
        <f>IF(VLOOKUP(A58,DB_TBL_DATA_FIELDS[[FIELD_ID]:[ERROR_MESSAGE]],23,FALSE)&lt;&gt;0,VLOOKUP(A58,DB_TBL_DATA_FIELDS[[FIELD_ID]:[ERROR_MESSAGE]],23,FALSE),"")</f>
        <v/>
      </c>
      <c r="E58" s="281">
        <f>VLOOKUP(A58,DB_TBL_DATA_FIELDS[[#All],[FIELD_ID]:[RANGE_VALIDATION_MAX]],18,FALSE)</f>
        <v>0</v>
      </c>
      <c r="F58" s="281">
        <f>VLOOKUP(A58,DB_TBL_DATA_FIELDS[[#All],[FIELD_ID]:[RANGE_VALIDATION_MAX]],19,FALSE)</f>
        <v>150</v>
      </c>
      <c r="G58" s="281">
        <f t="shared" ref="G58:G65" ca="1" si="14">IF(C58&lt;0,"",C58)</f>
        <v>1</v>
      </c>
      <c r="H58" s="215"/>
      <c r="I58" s="204" t="s">
        <v>3379</v>
      </c>
      <c r="J58" s="140"/>
      <c r="K58" s="204"/>
      <c r="L58" s="140"/>
      <c r="M58" s="204"/>
      <c r="N58" s="140"/>
      <c r="O58" s="215"/>
      <c r="P58" s="153"/>
      <c r="Q58" s="204" t="s">
        <v>219</v>
      </c>
      <c r="R58" s="140"/>
      <c r="S58" s="204"/>
      <c r="T58" s="140"/>
      <c r="U58" s="204"/>
      <c r="V58" s="140"/>
      <c r="W58" s="215"/>
      <c r="X58" s="165"/>
      <c r="Y58" s="215"/>
    </row>
    <row r="59" spans="1:25" ht="21.95" customHeight="1" x14ac:dyDescent="0.2">
      <c r="A59" s="273" t="s">
        <v>195</v>
      </c>
      <c r="B59" s="288" t="str">
        <f>IF(I59=0,"",I59)</f>
        <v/>
      </c>
      <c r="C59" s="281">
        <f ca="1">VLOOKUP(A59,DB_TBL_DATA_FIELDS[[FIELD_ID]:[PCT_CALC_FIELD_STATUS_CODE]],22,FALSE)</f>
        <v>1</v>
      </c>
      <c r="D59" s="281" t="str">
        <f>IF(VLOOKUP(A59,DB_TBL_DATA_FIELDS[[FIELD_ID]:[ERROR_MESSAGE]],23,FALSE)&lt;&gt;0,VLOOKUP(A59,DB_TBL_DATA_FIELDS[[FIELD_ID]:[ERROR_MESSAGE]],23,FALSE),"")</f>
        <v/>
      </c>
      <c r="E59" s="281">
        <f>VLOOKUP(A59,DB_TBL_DATA_FIELDS[[#All],[FIELD_ID]:[RANGE_VALIDATION_MAX]],18,FALSE)</f>
        <v>0</v>
      </c>
      <c r="F59" s="281">
        <f>VLOOKUP(A59,DB_TBL_DATA_FIELDS[[#All],[FIELD_ID]:[RANGE_VALIDATION_MAX]],19,FALSE)</f>
        <v>150</v>
      </c>
      <c r="G59" s="281">
        <f t="shared" ca="1" si="14"/>
        <v>1</v>
      </c>
      <c r="H59" s="215"/>
      <c r="I59" s="629"/>
      <c r="J59" s="630"/>
      <c r="K59" s="630"/>
      <c r="L59" s="630"/>
      <c r="M59" s="630"/>
      <c r="N59" s="630"/>
      <c r="O59" s="631"/>
      <c r="P59" s="165">
        <f ca="1">G59</f>
        <v>1</v>
      </c>
      <c r="Q59" s="466"/>
      <c r="R59" s="467"/>
      <c r="S59" s="467"/>
      <c r="T59" s="467"/>
      <c r="U59" s="467"/>
      <c r="V59" s="467"/>
      <c r="W59" s="468"/>
      <c r="X59" s="165">
        <f ca="1">G60</f>
        <v>1</v>
      </c>
      <c r="Y59" s="215"/>
    </row>
    <row r="60" spans="1:25" ht="21.95" customHeight="1" x14ac:dyDescent="0.2">
      <c r="A60" s="273" t="s">
        <v>196</v>
      </c>
      <c r="B60" s="288" t="str">
        <f>IF(Q59=0,"",Q59)</f>
        <v/>
      </c>
      <c r="C60" s="281">
        <f ca="1">VLOOKUP(A60,DB_TBL_DATA_FIELDS[[FIELD_ID]:[PCT_CALC_FIELD_STATUS_CODE]],22,FALSE)</f>
        <v>1</v>
      </c>
      <c r="D60" s="281" t="str">
        <f>IF(VLOOKUP(A60,DB_TBL_DATA_FIELDS[[FIELD_ID]:[ERROR_MESSAGE]],23,FALSE)&lt;&gt;0,VLOOKUP(A60,DB_TBL_DATA_FIELDS[[FIELD_ID]:[ERROR_MESSAGE]],23,FALSE),"")</f>
        <v/>
      </c>
      <c r="E60" s="281">
        <f>VLOOKUP(A60,DB_TBL_DATA_FIELDS[[#All],[FIELD_ID]:[RANGE_VALIDATION_MAX]],18,FALSE)</f>
        <v>0</v>
      </c>
      <c r="F60" s="281">
        <f>VLOOKUP(A60,DB_TBL_DATA_FIELDS[[#All],[FIELD_ID]:[RANGE_VALIDATION_MAX]],19,FALSE)</f>
        <v>150</v>
      </c>
      <c r="G60" s="281">
        <f t="shared" ca="1" si="14"/>
        <v>1</v>
      </c>
      <c r="H60" s="215"/>
      <c r="I60" s="207" t="s">
        <v>220</v>
      </c>
      <c r="J60" s="153"/>
      <c r="K60" s="207"/>
      <c r="L60" s="153"/>
      <c r="M60" s="204"/>
      <c r="N60" s="140"/>
      <c r="O60" s="204" t="s">
        <v>84</v>
      </c>
      <c r="P60" s="140"/>
      <c r="Q60" s="204"/>
      <c r="R60" s="140"/>
      <c r="S60" s="204" t="s">
        <v>85</v>
      </c>
      <c r="T60" s="140"/>
      <c r="U60" s="204" t="s">
        <v>3419</v>
      </c>
      <c r="V60" s="140"/>
      <c r="W60" s="204"/>
      <c r="X60" s="140"/>
      <c r="Y60" s="215"/>
    </row>
    <row r="61" spans="1:25" ht="21.95" customHeight="1" x14ac:dyDescent="0.2">
      <c r="A61" s="273" t="s">
        <v>197</v>
      </c>
      <c r="B61" s="288" t="str">
        <f>IF(I61=0,"",I61)</f>
        <v/>
      </c>
      <c r="C61" s="281">
        <f ca="1">VLOOKUP(A61,DB_TBL_DATA_FIELDS[[FIELD_ID]:[PCT_CALC_FIELD_STATUS_CODE]],22,FALSE)</f>
        <v>1</v>
      </c>
      <c r="D61" s="281" t="str">
        <f>IF(VLOOKUP(A61,DB_TBL_DATA_FIELDS[[FIELD_ID]:[ERROR_MESSAGE]],23,FALSE)&lt;&gt;0,VLOOKUP(A61,DB_TBL_DATA_FIELDS[[FIELD_ID]:[ERROR_MESSAGE]],23,FALSE),"")</f>
        <v/>
      </c>
      <c r="E61" s="281">
        <f>VLOOKUP(A61,DB_TBL_DATA_FIELDS[[#All],[FIELD_ID]:[RANGE_VALIDATION_MAX]],18,FALSE)</f>
        <v>0</v>
      </c>
      <c r="F61" s="281">
        <f>VLOOKUP(A61,DB_TBL_DATA_FIELDS[[#All],[FIELD_ID]:[RANGE_VALIDATION_MAX]],19,FALSE)</f>
        <v>60</v>
      </c>
      <c r="G61" s="281">
        <f t="shared" ca="1" si="14"/>
        <v>1</v>
      </c>
      <c r="H61" s="215"/>
      <c r="I61" s="608"/>
      <c r="J61" s="609"/>
      <c r="K61" s="609"/>
      <c r="L61" s="609"/>
      <c r="M61" s="610"/>
      <c r="N61" s="165">
        <f ca="1">G61</f>
        <v>1</v>
      </c>
      <c r="O61" s="466"/>
      <c r="P61" s="467"/>
      <c r="Q61" s="468"/>
      <c r="R61" s="165">
        <f ca="1">G62</f>
        <v>1</v>
      </c>
      <c r="S61" s="316"/>
      <c r="T61" s="165">
        <f ca="1">G63</f>
        <v>1</v>
      </c>
      <c r="U61" s="213"/>
      <c r="V61" s="271" t="s">
        <v>86</v>
      </c>
      <c r="W61" s="214"/>
      <c r="X61" s="165">
        <f ca="1">G64</f>
        <v>1</v>
      </c>
      <c r="Y61" s="215"/>
    </row>
    <row r="62" spans="1:25" ht="21.95" customHeight="1" x14ac:dyDescent="0.2">
      <c r="A62" s="273" t="s">
        <v>198</v>
      </c>
      <c r="B62" s="288" t="str">
        <f>IF(O61=0,"",O61)</f>
        <v/>
      </c>
      <c r="C62" s="281">
        <f ca="1">VLOOKUP(A62,DB_TBL_DATA_FIELDS[[FIELD_ID]:[PCT_CALC_FIELD_STATUS_CODE]],22,FALSE)</f>
        <v>1</v>
      </c>
      <c r="D62" s="281" t="str">
        <f>IF(VLOOKUP(A62,DB_TBL_DATA_FIELDS[[FIELD_ID]:[ERROR_MESSAGE]],23,FALSE)&lt;&gt;0,VLOOKUP(A62,DB_TBL_DATA_FIELDS[[FIELD_ID]:[ERROR_MESSAGE]],23,FALSE),"")</f>
        <v/>
      </c>
      <c r="E62" s="281">
        <f>VLOOKUP(A62,DB_TBL_DATA_FIELDS[[#All],[FIELD_ID]:[RANGE_VALIDATION_MAX]],18,FALSE)</f>
        <v>0</v>
      </c>
      <c r="F62" s="281">
        <f>VLOOKUP(A62,DB_TBL_DATA_FIELDS[[#All],[FIELD_ID]:[RANGE_VALIDATION_MAX]],19,FALSE)</f>
        <v>30</v>
      </c>
      <c r="G62" s="281">
        <f t="shared" ca="1" si="14"/>
        <v>1</v>
      </c>
      <c r="H62" s="215"/>
      <c r="I62" s="204" t="s">
        <v>3377</v>
      </c>
      <c r="J62" s="140"/>
      <c r="K62" s="204"/>
      <c r="L62" s="140"/>
      <c r="M62" s="204"/>
      <c r="N62" s="140"/>
      <c r="O62" s="207"/>
      <c r="P62" s="153"/>
      <c r="Q62" s="204" t="s">
        <v>3479</v>
      </c>
      <c r="R62" s="140"/>
      <c r="S62" s="204"/>
      <c r="T62" s="140"/>
      <c r="U62" s="215"/>
      <c r="V62" s="153"/>
      <c r="W62" s="175"/>
      <c r="X62" s="153"/>
      <c r="Y62" s="215"/>
    </row>
    <row r="63" spans="1:25" ht="21.95" customHeight="1" x14ac:dyDescent="0.2">
      <c r="A63" s="273" t="s">
        <v>199</v>
      </c>
      <c r="B63" s="288" t="str">
        <f>IF(S61=0,"",S61)</f>
        <v/>
      </c>
      <c r="C63" s="281">
        <f ca="1">VLOOKUP(A63,DB_TBL_DATA_FIELDS[[FIELD_ID]:[PCT_CALC_FIELD_STATUS_CODE]],22,FALSE)</f>
        <v>1</v>
      </c>
      <c r="D63" s="281" t="str">
        <f>IF(VLOOKUP(A63,DB_TBL_DATA_FIELDS[[FIELD_ID]:[ERROR_MESSAGE]],23,FALSE)&lt;&gt;0,VLOOKUP(A63,DB_TBL_DATA_FIELDS[[FIELD_ID]:[ERROR_MESSAGE]],23,FALSE),"")</f>
        <v/>
      </c>
      <c r="E63" s="281">
        <f>VLOOKUP(A63,DB_TBL_DATA_FIELDS[[#All],[FIELD_ID]:[RANGE_VALIDATION_MAX]],18,FALSE)</f>
        <v>2</v>
      </c>
      <c r="F63" s="281">
        <f>VLOOKUP(A63,DB_TBL_DATA_FIELDS[[#All],[FIELD_ID]:[RANGE_VALIDATION_MAX]],19,FALSE)</f>
        <v>2</v>
      </c>
      <c r="G63" s="281">
        <f t="shared" ca="1" si="14"/>
        <v>1</v>
      </c>
      <c r="H63" s="215"/>
      <c r="I63" s="618"/>
      <c r="J63" s="619"/>
      <c r="K63" s="619"/>
      <c r="L63" s="619"/>
      <c r="M63" s="619"/>
      <c r="N63" s="619"/>
      <c r="O63" s="620"/>
      <c r="P63" s="165">
        <f ca="1">G65</f>
        <v>1</v>
      </c>
      <c r="Q63" s="611"/>
      <c r="R63" s="612"/>
      <c r="S63" s="612"/>
      <c r="T63" s="612"/>
      <c r="U63" s="612"/>
      <c r="V63" s="612"/>
      <c r="W63" s="613"/>
      <c r="X63" s="165">
        <f ca="1">G66</f>
        <v>1</v>
      </c>
      <c r="Y63" s="215"/>
    </row>
    <row r="64" spans="1:25" ht="21.95" customHeight="1" x14ac:dyDescent="0.2">
      <c r="A64" s="273" t="s">
        <v>200</v>
      </c>
      <c r="B64" s="289" t="str">
        <f>IF(AND(U61=0,W61=0),"",IF(U61&lt;&gt;0,TEXT(U61,"00000"),"")&amp;IF(W61&lt;&gt;0,"-"&amp;TEXT(W61,"0000"),""))</f>
        <v/>
      </c>
      <c r="C64" s="281">
        <f ca="1">VLOOKUP(A64,DB_TBL_DATA_FIELDS[[FIELD_ID]:[PCT_CALC_FIELD_STATUS_CODE]],22,FALSE)</f>
        <v>1</v>
      </c>
      <c r="D64" s="281" t="str">
        <f>IF(VLOOKUP(A64,DB_TBL_DATA_FIELDS[[FIELD_ID]:[ERROR_MESSAGE]],23,FALSE)&lt;&gt;0,VLOOKUP(A64,DB_TBL_DATA_FIELDS[[FIELD_ID]:[ERROR_MESSAGE]],23,FALSE),"")</f>
        <v/>
      </c>
      <c r="E64" s="281">
        <f>VLOOKUP(A64,DB_TBL_DATA_FIELDS[[#All],[FIELD_ID]:[RANGE_VALIDATION_MAX]],18,FALSE)</f>
        <v>5</v>
      </c>
      <c r="F64" s="281">
        <f>VLOOKUP(A64,DB_TBL_DATA_FIELDS[[#All],[FIELD_ID]:[RANGE_VALIDATION_MAX]],19,FALSE)</f>
        <v>10</v>
      </c>
      <c r="G64" s="281">
        <f t="shared" ca="1" si="14"/>
        <v>1</v>
      </c>
      <c r="H64" s="215"/>
      <c r="I64" s="540" t="str">
        <f ca="1">D65</f>
        <v/>
      </c>
      <c r="J64" s="541"/>
      <c r="K64" s="541"/>
      <c r="L64" s="541"/>
      <c r="M64" s="541"/>
      <c r="N64" s="541"/>
      <c r="O64" s="541"/>
      <c r="P64" s="153"/>
      <c r="Q64" s="215"/>
      <c r="R64" s="153"/>
      <c r="S64" s="215"/>
      <c r="T64" s="153"/>
      <c r="U64" s="215"/>
      <c r="V64" s="153"/>
      <c r="W64" s="215"/>
      <c r="X64" s="153"/>
      <c r="Y64" s="215"/>
    </row>
    <row r="65" spans="1:25" ht="21.95" customHeight="1" x14ac:dyDescent="0.2">
      <c r="A65" s="273" t="s">
        <v>201</v>
      </c>
      <c r="B65" s="288" t="str">
        <f>IF(I63=0,"",I63)</f>
        <v/>
      </c>
      <c r="C65" s="281">
        <f ca="1">VLOOKUP(A65,DB_TBL_DATA_FIELDS[[FIELD_ID]:[PCT_CALC_FIELD_STATUS_CODE]],22,FALSE)</f>
        <v>1</v>
      </c>
      <c r="D65" s="281" t="str">
        <f ca="1">IF(VLOOKUP(A65,DB_TBL_DATA_FIELDS[[FIELD_ID]:[ERROR_MESSAGE]],23,FALSE)&lt;&gt;0,VLOOKUP(A65,DB_TBL_DATA_FIELDS[[FIELD_ID]:[ERROR_MESSAGE]],23,FALSE),"")</f>
        <v/>
      </c>
      <c r="E65" s="281">
        <f>VLOOKUP(A65,DB_TBL_DATA_FIELDS[[#All],[FIELD_ID]:[RANGE_VALIDATION_MAX]],18,FALSE)</f>
        <v>0</v>
      </c>
      <c r="F65" s="281">
        <f>VLOOKUP(A65,DB_TBL_DATA_FIELDS[[#All],[FIELD_ID]:[RANGE_VALIDATION_MAX]],19,FALSE)</f>
        <v>150</v>
      </c>
      <c r="G65" s="281">
        <f t="shared" ca="1" si="14"/>
        <v>1</v>
      </c>
      <c r="H65" s="204"/>
      <c r="I65" s="176" t="s">
        <v>3420</v>
      </c>
      <c r="J65" s="204"/>
      <c r="K65" s="204"/>
      <c r="L65" s="204"/>
      <c r="M65" s="204"/>
      <c r="N65" s="204"/>
      <c r="O65" s="208"/>
      <c r="P65" s="153"/>
      <c r="Q65" s="207"/>
      <c r="R65" s="153"/>
      <c r="S65" s="207"/>
      <c r="T65" s="153"/>
      <c r="U65" s="207"/>
      <c r="V65" s="153"/>
      <c r="W65" s="207"/>
      <c r="X65" s="153"/>
      <c r="Y65" s="204"/>
    </row>
    <row r="66" spans="1:25" ht="21.95" customHeight="1" x14ac:dyDescent="0.2">
      <c r="A66" s="273" t="s">
        <v>194</v>
      </c>
      <c r="B66" s="288" t="str">
        <f>IF(Q63=0,"",Q63)</f>
        <v/>
      </c>
      <c r="C66" s="281">
        <f ca="1">VLOOKUP(A66,DB_TBL_DATA_FIELDS[[FIELD_ID]:[PCT_CALC_FIELD_STATUS_CODE]],22,FALSE)</f>
        <v>1</v>
      </c>
      <c r="D66" s="281" t="str">
        <f>IF(VLOOKUP(A66,DB_TBL_DATA_FIELDS[[FIELD_ID]:[ERROR_MESSAGE]],23,FALSE)&lt;&gt;0,VLOOKUP(A66,DB_TBL_DATA_FIELDS[[FIELD_ID]:[ERROR_MESSAGE]],23,FALSE),"")</f>
        <v/>
      </c>
      <c r="E66" s="281">
        <f>VLOOKUP(A66,DB_TBL_DATA_FIELDS[[#All],[FIELD_ID]:[RANGE_VALIDATION_MAX]],18,FALSE)</f>
        <v>0</v>
      </c>
      <c r="F66" s="281">
        <f>VLOOKUP(A66,DB_TBL_DATA_FIELDS[[#All],[FIELD_ID]:[RANGE_VALIDATION_MAX]],19,FALSE)</f>
        <v>150</v>
      </c>
      <c r="G66" s="281">
        <f ca="1">IF(C66&lt;0,"",C66)</f>
        <v>1</v>
      </c>
      <c r="H66" s="215"/>
      <c r="I66" s="185"/>
      <c r="J66" s="185"/>
      <c r="K66" s="185"/>
      <c r="L66" s="185"/>
      <c r="M66" s="185"/>
      <c r="N66" s="185"/>
      <c r="O66" s="185"/>
      <c r="P66" s="153"/>
      <c r="Q66" s="215"/>
      <c r="R66" s="153"/>
      <c r="S66" s="215"/>
      <c r="T66" s="153"/>
      <c r="U66" s="215"/>
      <c r="V66" s="153"/>
      <c r="W66" s="215"/>
      <c r="X66" s="153"/>
      <c r="Y66" s="215"/>
    </row>
    <row r="67" spans="1:25" ht="21.95" customHeight="1" thickBot="1" x14ac:dyDescent="0.25">
      <c r="A67" s="290" t="s">
        <v>222</v>
      </c>
      <c r="B67" s="282" t="str">
        <f>"C"&amp;MATCH(LEFT(A67,LEN(A67)-LEN("_RANGE")),A:A,0)+1&amp;":C"&amp;(ROW()-1)</f>
        <v>C58:C66</v>
      </c>
      <c r="C67" s="281"/>
      <c r="D67" s="281"/>
      <c r="E67" s="281"/>
      <c r="F67" s="281"/>
      <c r="G67" s="281"/>
      <c r="H67" s="215"/>
      <c r="I67" s="424" t="str">
        <f>B77</f>
        <v>Subsidy Request</v>
      </c>
      <c r="J67" s="269"/>
      <c r="K67" s="269"/>
      <c r="L67" s="269"/>
      <c r="M67" s="269"/>
      <c r="N67" s="269"/>
      <c r="O67" s="269"/>
      <c r="P67" s="269"/>
      <c r="Q67" s="269"/>
      <c r="R67" s="269"/>
      <c r="S67" s="269"/>
      <c r="T67" s="269"/>
      <c r="U67" s="269"/>
      <c r="V67" s="269"/>
      <c r="W67" s="269"/>
      <c r="X67" s="167" t="str">
        <f ca="1">"Status: "&amp;$B$103</f>
        <v>Status: Not Started</v>
      </c>
      <c r="Y67" s="215"/>
    </row>
    <row r="68" spans="1:25" ht="21.95" customHeight="1" x14ac:dyDescent="0.2">
      <c r="A68" s="290" t="s">
        <v>223</v>
      </c>
      <c r="B68" s="282">
        <f ca="1">COUNTIF(INDIRECT($B67),2)</f>
        <v>0</v>
      </c>
      <c r="C68" s="281"/>
      <c r="D68" s="281"/>
      <c r="E68" s="281"/>
      <c r="F68" s="281"/>
      <c r="G68" s="281"/>
      <c r="H68" s="215"/>
      <c r="I68" s="185"/>
      <c r="J68" s="185"/>
      <c r="K68" s="185"/>
      <c r="L68" s="185"/>
      <c r="M68" s="185"/>
      <c r="N68" s="185"/>
      <c r="O68" s="185"/>
      <c r="P68" s="153"/>
      <c r="Q68" s="215"/>
      <c r="R68" s="153"/>
      <c r="S68" s="215"/>
      <c r="T68" s="153"/>
      <c r="U68" s="215"/>
      <c r="V68" s="153"/>
      <c r="W68" s="215"/>
      <c r="X68" s="153"/>
      <c r="Y68" s="215"/>
    </row>
    <row r="69" spans="1:25" ht="21.95" customHeight="1" thickBot="1" x14ac:dyDescent="0.25">
      <c r="A69" s="290" t="s">
        <v>224</v>
      </c>
      <c r="B69" s="282">
        <f ca="1">COUNTIF(INDIRECT($B67),0)+COUNTIF(INDIRECT($B67),1)+COUNTIF(INDIRECT($B67),2)</f>
        <v>9</v>
      </c>
      <c r="C69" s="281"/>
      <c r="D69" s="281"/>
      <c r="E69" s="281"/>
      <c r="F69" s="281"/>
      <c r="G69" s="281"/>
      <c r="H69" s="215"/>
      <c r="I69" s="216" t="s">
        <v>2461</v>
      </c>
      <c r="J69" s="217"/>
      <c r="K69" s="218"/>
      <c r="L69" s="217"/>
      <c r="M69" s="218"/>
      <c r="N69" s="217"/>
      <c r="O69" s="218"/>
      <c r="P69" s="217"/>
      <c r="Q69" s="218"/>
      <c r="R69" s="217"/>
      <c r="S69" s="218"/>
      <c r="T69" s="217"/>
      <c r="U69" s="218"/>
      <c r="V69" s="217"/>
      <c r="W69" s="311"/>
      <c r="X69" s="153"/>
      <c r="Y69" s="215"/>
    </row>
    <row r="70" spans="1:25" ht="21.95" customHeight="1" thickTop="1" x14ac:dyDescent="0.2">
      <c r="A70" s="290" t="s">
        <v>225</v>
      </c>
      <c r="B70" s="282">
        <f ca="1">COUNTIF(INDIRECT($B67),0)</f>
        <v>0</v>
      </c>
      <c r="C70" s="281" t="s">
        <v>2607</v>
      </c>
      <c r="D70" s="281"/>
      <c r="E70" s="281"/>
      <c r="F70" s="281"/>
      <c r="G70" s="281"/>
      <c r="H70" s="215"/>
      <c r="I70" s="207" t="str">
        <f>"Direct Subsidy Amount (Maximum: "&amp;TEXT('$DB.CONFIG'!D13,"$#,###")&amp;")"</f>
        <v>Direct Subsidy Amount (Maximum: $1,250,000)</v>
      </c>
      <c r="J70" s="153"/>
      <c r="K70" s="215"/>
      <c r="L70" s="202"/>
      <c r="M70" s="186"/>
      <c r="N70" s="153"/>
      <c r="O70" s="215"/>
      <c r="P70" s="153"/>
      <c r="Q70" s="215"/>
      <c r="R70" s="153"/>
      <c r="S70" s="215"/>
      <c r="T70" s="153"/>
      <c r="U70" s="215"/>
      <c r="V70" s="153"/>
      <c r="W70" s="215"/>
      <c r="X70" s="153"/>
      <c r="Y70" s="215"/>
    </row>
    <row r="71" spans="1:25" ht="21.95" customHeight="1" x14ac:dyDescent="0.2">
      <c r="A71" s="290" t="s">
        <v>226</v>
      </c>
      <c r="B71" s="291">
        <f ca="1">IFERROR(B68/B69,1.01)</f>
        <v>0</v>
      </c>
      <c r="C71" s="281"/>
      <c r="D71" s="281"/>
      <c r="E71" s="281"/>
      <c r="F71" s="281"/>
      <c r="G71" s="281"/>
      <c r="H71" s="215"/>
      <c r="I71" s="596"/>
      <c r="J71" s="597"/>
      <c r="K71" s="597"/>
      <c r="L71" s="165">
        <f ca="1">G78</f>
        <v>1</v>
      </c>
      <c r="M71" s="177"/>
      <c r="N71" s="177"/>
      <c r="O71" s="177"/>
      <c r="P71" s="177"/>
      <c r="Q71" s="177"/>
      <c r="R71" s="177"/>
      <c r="S71" s="177"/>
      <c r="T71" s="177"/>
      <c r="U71" s="177"/>
      <c r="V71" s="177"/>
      <c r="W71" s="177"/>
      <c r="X71" s="177"/>
      <c r="Y71" s="215"/>
    </row>
    <row r="72" spans="1:25" ht="21.95" customHeight="1" x14ac:dyDescent="0.2">
      <c r="A72" s="290" t="s">
        <v>227</v>
      </c>
      <c r="B72" s="292" t="str">
        <f ca="1">IF(B70&gt;0,"Data Error(s)",IF(B71=0,"Not Started",IF(B71&lt;1,ROUNDUP(B71*100,0)&amp;"% Done",IF(B71&gt;1,"Optional","Complete"))))</f>
        <v>Not Started</v>
      </c>
      <c r="C72" s="281"/>
      <c r="D72" s="281"/>
      <c r="E72" s="281"/>
      <c r="F72" s="281"/>
      <c r="G72" s="281"/>
      <c r="H72" s="215"/>
      <c r="I72" s="187" t="s">
        <v>3421</v>
      </c>
      <c r="J72" s="153"/>
      <c r="K72" s="215"/>
      <c r="L72" s="153"/>
      <c r="M72" s="215"/>
      <c r="N72" s="153"/>
      <c r="O72" s="215"/>
      <c r="P72" s="153"/>
      <c r="Q72" s="215"/>
      <c r="R72" s="153"/>
      <c r="S72" s="215"/>
      <c r="T72" s="153"/>
      <c r="U72" s="188"/>
      <c r="V72" s="188"/>
      <c r="W72" s="188"/>
      <c r="X72" s="153"/>
      <c r="Y72" s="215"/>
    </row>
    <row r="73" spans="1:25" ht="21.95" customHeight="1" thickBot="1" x14ac:dyDescent="0.25">
      <c r="A73" s="290" t="s">
        <v>228</v>
      </c>
      <c r="B73" s="282" t="str">
        <f ca="1">IF(B70&gt;0,0,IF(B71&lt;1,"",2))</f>
        <v/>
      </c>
      <c r="C73" s="281"/>
      <c r="D73" s="281"/>
      <c r="E73" s="281"/>
      <c r="F73" s="281"/>
      <c r="G73" s="281"/>
      <c r="H73" s="215"/>
      <c r="I73" s="216" t="s">
        <v>3422</v>
      </c>
      <c r="J73" s="217"/>
      <c r="K73" s="218"/>
      <c r="L73" s="217"/>
      <c r="M73" s="218"/>
      <c r="N73" s="217"/>
      <c r="O73" s="218"/>
      <c r="P73" s="217"/>
      <c r="Q73" s="218"/>
      <c r="R73" s="217"/>
      <c r="S73" s="218"/>
      <c r="T73" s="217"/>
      <c r="U73" s="218"/>
      <c r="V73" s="217"/>
      <c r="W73" s="218"/>
      <c r="X73" s="153"/>
      <c r="Y73" s="215"/>
    </row>
    <row r="74" spans="1:25" ht="21.95" customHeight="1" thickTop="1" x14ac:dyDescent="0.2">
      <c r="A74" s="290" t="s">
        <v>229</v>
      </c>
      <c r="B74" s="293" t="s">
        <v>2435</v>
      </c>
      <c r="C74" s="281"/>
      <c r="D74" s="281"/>
      <c r="E74" s="281"/>
      <c r="F74" s="281"/>
      <c r="G74" s="281"/>
      <c r="H74" s="215"/>
      <c r="I74" s="207" t="s">
        <v>3423</v>
      </c>
      <c r="J74" s="153"/>
      <c r="K74" s="215"/>
      <c r="L74" s="153"/>
      <c r="M74" s="207" t="s">
        <v>61</v>
      </c>
      <c r="N74" s="153"/>
      <c r="O74" s="215"/>
      <c r="P74" s="153"/>
      <c r="Q74" s="215"/>
      <c r="R74" s="153"/>
      <c r="S74" s="215"/>
      <c r="T74" s="153"/>
      <c r="U74" s="207" t="s">
        <v>2463</v>
      </c>
      <c r="V74" s="153"/>
      <c r="W74" s="215"/>
      <c r="X74" s="153"/>
      <c r="Y74" s="215"/>
    </row>
    <row r="75" spans="1:25" ht="21.95" customHeight="1" x14ac:dyDescent="0.2">
      <c r="A75" s="294" t="s">
        <v>2364</v>
      </c>
      <c r="B75" s="282">
        <v>0</v>
      </c>
      <c r="C75" s="281" t="s">
        <v>2462</v>
      </c>
      <c r="D75" s="281"/>
      <c r="E75" s="281"/>
      <c r="F75" s="281"/>
      <c r="G75" s="281"/>
      <c r="H75" s="215"/>
      <c r="I75" s="644"/>
      <c r="J75" s="645"/>
      <c r="K75" s="646"/>
      <c r="L75" s="165">
        <f ca="1">G79</f>
        <v>1</v>
      </c>
      <c r="M75" s="608"/>
      <c r="N75" s="609"/>
      <c r="O75" s="609"/>
      <c r="P75" s="609"/>
      <c r="Q75" s="609"/>
      <c r="R75" s="609"/>
      <c r="S75" s="610"/>
      <c r="T75" s="165" t="str">
        <f ca="1">G80</f>
        <v/>
      </c>
      <c r="U75" s="466"/>
      <c r="V75" s="467"/>
      <c r="W75" s="468"/>
      <c r="X75" s="165" t="str">
        <f ca="1">G81</f>
        <v/>
      </c>
      <c r="Y75" s="215"/>
    </row>
    <row r="76" spans="1:25" ht="21.95" customHeight="1" x14ac:dyDescent="0.2">
      <c r="A76" s="294" t="s">
        <v>2365</v>
      </c>
      <c r="B76" s="282" t="b">
        <f>(B75&gt;0)</f>
        <v>0</v>
      </c>
      <c r="C76" s="281"/>
      <c r="D76" s="281"/>
      <c r="E76" s="281"/>
      <c r="F76" s="281"/>
      <c r="G76" s="281"/>
      <c r="H76" s="215"/>
      <c r="I76" s="509" t="s">
        <v>3596</v>
      </c>
      <c r="J76" s="509"/>
      <c r="K76" s="509"/>
      <c r="L76" s="509"/>
      <c r="M76" s="509"/>
      <c r="N76" s="509"/>
      <c r="O76" s="509"/>
      <c r="P76" s="509"/>
      <c r="Q76" s="509"/>
      <c r="R76" s="509"/>
      <c r="S76" s="509"/>
      <c r="T76" s="509"/>
      <c r="U76" s="509"/>
      <c r="V76" s="509"/>
      <c r="W76" s="509"/>
      <c r="X76" s="153"/>
      <c r="Y76" s="215"/>
    </row>
    <row r="77" spans="1:25" ht="21.95" customHeight="1" x14ac:dyDescent="0.2">
      <c r="A77" s="285" t="s">
        <v>232</v>
      </c>
      <c r="B77" s="305" t="s">
        <v>287</v>
      </c>
      <c r="C77" s="286"/>
      <c r="D77" s="287"/>
      <c r="E77" s="287"/>
      <c r="F77" s="287"/>
      <c r="G77" s="172" t="str">
        <f>B105</f>
        <v>Subsidy Request</v>
      </c>
      <c r="H77" s="215"/>
      <c r="I77" s="509"/>
      <c r="J77" s="509"/>
      <c r="K77" s="509"/>
      <c r="L77" s="509"/>
      <c r="M77" s="509"/>
      <c r="N77" s="509"/>
      <c r="O77" s="509"/>
      <c r="P77" s="509"/>
      <c r="Q77" s="509"/>
      <c r="R77" s="509"/>
      <c r="S77" s="509"/>
      <c r="T77" s="509"/>
      <c r="U77" s="509"/>
      <c r="V77" s="509"/>
      <c r="W77" s="509"/>
      <c r="X77" s="153"/>
      <c r="Y77" s="215"/>
    </row>
    <row r="78" spans="1:25" ht="21.95" customHeight="1" x14ac:dyDescent="0.2">
      <c r="A78" s="273" t="s">
        <v>212</v>
      </c>
      <c r="B78" s="288" t="str">
        <f>IF(I71&lt;&gt;"",I71,"")</f>
        <v/>
      </c>
      <c r="C78" s="281">
        <f ca="1">VLOOKUP(A78,DB_TBL_DATA_FIELDS[[FIELD_ID]:[PCT_CALC_FIELD_STATUS_CODE]],22,FALSE)</f>
        <v>1</v>
      </c>
      <c r="D78" s="281" t="str">
        <f ca="1">IF(VLOOKUP(A78,DB_TBL_DATA_FIELDS[[FIELD_ID]:[ERROR_MESSAGE]],23,FALSE)&lt;&gt;0,VLOOKUP(A78,DB_TBL_DATA_FIELDS[[FIELD_ID]:[ERROR_MESSAGE]],23,FALSE),"")</f>
        <v/>
      </c>
      <c r="E78" s="281">
        <f>VLOOKUP(A78,DB_TBL_DATA_FIELDS[[#All],[FIELD_ID]:[RANGE_VALIDATION_MAX]],18,FALSE)</f>
        <v>1</v>
      </c>
      <c r="F78" s="281">
        <f>VLOOKUP(A78,DB_TBL_DATA_FIELDS[[#All],[FIELD_ID]:[RANGE_VALIDATION_MAX]],19,FALSE)</f>
        <v>1250000</v>
      </c>
      <c r="G78" s="281">
        <f t="shared" ref="G78:G97" ca="1" si="15">IF(C78&lt;0,"",C78)</f>
        <v>1</v>
      </c>
      <c r="H78" s="215"/>
      <c r="I78" s="509"/>
      <c r="J78" s="509"/>
      <c r="K78" s="509"/>
      <c r="L78" s="509"/>
      <c r="M78" s="509"/>
      <c r="N78" s="509"/>
      <c r="O78" s="509"/>
      <c r="P78" s="509"/>
      <c r="Q78" s="509"/>
      <c r="R78" s="509"/>
      <c r="S78" s="509"/>
      <c r="T78" s="509"/>
      <c r="U78" s="509"/>
      <c r="V78" s="509"/>
      <c r="W78" s="509"/>
      <c r="X78" s="153"/>
      <c r="Y78" s="215"/>
    </row>
    <row r="79" spans="1:25" ht="21.95" customHeight="1" thickBot="1" x14ac:dyDescent="0.25">
      <c r="A79" s="273" t="s">
        <v>2437</v>
      </c>
      <c r="B79" s="288" t="str">
        <f>IF(I75&lt;&gt;"",I75,"")</f>
        <v/>
      </c>
      <c r="C79" s="281">
        <f ca="1">VLOOKUP(A79,DB_TBL_DATA_FIELDS[[FIELD_ID]:[PCT_CALC_FIELD_STATUS_CODE]],22,FALSE)</f>
        <v>1</v>
      </c>
      <c r="D79" s="281" t="str">
        <f>IF(VLOOKUP(A79,DB_TBL_DATA_FIELDS[[FIELD_ID]:[ERROR_MESSAGE]],23,FALSE)&lt;&gt;0,VLOOKUP(A79,DB_TBL_DATA_FIELDS[[FIELD_ID]:[ERROR_MESSAGE]],23,FALSE),"")</f>
        <v/>
      </c>
      <c r="E79" s="281">
        <f>VLOOKUP(A79,DB_TBL_DATA_FIELDS[[#All],[FIELD_ID]:[RANGE_VALIDATION_MAX]],18,FALSE)</f>
        <v>0</v>
      </c>
      <c r="F79" s="281">
        <f>VLOOKUP(A79,DB_TBL_DATA_FIELDS[[#All],[FIELD_ID]:[RANGE_VALIDATION_MAX]],19,FALSE)</f>
        <v>999999999999</v>
      </c>
      <c r="G79" s="281">
        <f t="shared" ca="1" si="15"/>
        <v>1</v>
      </c>
      <c r="H79" s="215"/>
      <c r="I79" s="216" t="s">
        <v>3424</v>
      </c>
      <c r="J79" s="189"/>
      <c r="K79" s="189"/>
      <c r="L79" s="189"/>
      <c r="M79" s="189"/>
      <c r="N79" s="189"/>
      <c r="O79" s="189"/>
      <c r="P79" s="217"/>
      <c r="Q79" s="218"/>
      <c r="R79" s="217"/>
      <c r="S79" s="218"/>
      <c r="T79" s="217"/>
      <c r="U79" s="218"/>
      <c r="V79" s="217"/>
      <c r="W79" s="218"/>
      <c r="X79" s="153"/>
      <c r="Y79" s="215"/>
    </row>
    <row r="80" spans="1:25" ht="21.95" customHeight="1" thickTop="1" x14ac:dyDescent="0.2">
      <c r="A80" s="273" t="s">
        <v>2436</v>
      </c>
      <c r="B80" s="288" t="str">
        <f>IF(M75&lt;&gt;"",M75,"")</f>
        <v/>
      </c>
      <c r="C80" s="281">
        <f ca="1">VLOOKUP(A80,DB_TBL_DATA_FIELDS[[FIELD_ID]:[PCT_CALC_FIELD_STATUS_CODE]],22,FALSE)</f>
        <v>-1</v>
      </c>
      <c r="D80" s="281" t="str">
        <f>IF(VLOOKUP(A80,DB_TBL_DATA_FIELDS[[FIELD_ID]:[ERROR_MESSAGE]],23,FALSE)&lt;&gt;0,VLOOKUP(A80,DB_TBL_DATA_FIELDS[[FIELD_ID]:[ERROR_MESSAGE]],23,FALSE),"")</f>
        <v/>
      </c>
      <c r="E80" s="281">
        <f>VLOOKUP(A80,DB_TBL_DATA_FIELDS[[#All],[FIELD_ID]:[RANGE_VALIDATION_MAX]],18,FALSE)</f>
        <v>0</v>
      </c>
      <c r="F80" s="281">
        <f>VLOOKUP(A80,DB_TBL_DATA_FIELDS[[#All],[FIELD_ID]:[RANGE_VALIDATION_MAX]],19,FALSE)</f>
        <v>100</v>
      </c>
      <c r="G80" s="281" t="str">
        <f t="shared" ca="1" si="15"/>
        <v/>
      </c>
      <c r="H80" s="215"/>
      <c r="I80" s="204" t="s">
        <v>3425</v>
      </c>
      <c r="J80" s="185"/>
      <c r="K80" s="185"/>
      <c r="L80" s="185"/>
      <c r="M80" s="204" t="s">
        <v>2464</v>
      </c>
      <c r="N80" s="185"/>
      <c r="O80" s="185"/>
      <c r="P80" s="153"/>
      <c r="Q80" s="215"/>
      <c r="R80" s="153"/>
      <c r="S80" s="204" t="s">
        <v>2465</v>
      </c>
      <c r="T80" s="153"/>
      <c r="U80" s="215"/>
      <c r="V80" s="153"/>
      <c r="W80" s="215"/>
      <c r="X80" s="153"/>
      <c r="Y80" s="215"/>
    </row>
    <row r="81" spans="1:25" ht="21.95" customHeight="1" x14ac:dyDescent="0.2">
      <c r="A81" s="273" t="s">
        <v>2438</v>
      </c>
      <c r="B81" s="288" t="str">
        <f>IF(U75&lt;&gt;"",U75,"")</f>
        <v/>
      </c>
      <c r="C81" s="281">
        <f ca="1">VLOOKUP(A81,DB_TBL_DATA_FIELDS[[FIELD_ID]:[PCT_CALC_FIELD_STATUS_CODE]],22,FALSE)</f>
        <v>-1</v>
      </c>
      <c r="D81" s="281" t="str">
        <f>IF(VLOOKUP(A81,DB_TBL_DATA_FIELDS[[FIELD_ID]:[ERROR_MESSAGE]],23,FALSE)&lt;&gt;0,VLOOKUP(A81,DB_TBL_DATA_FIELDS[[FIELD_ID]:[ERROR_MESSAGE]],23,FALSE),"")</f>
        <v/>
      </c>
      <c r="E81" s="281">
        <f>VLOOKUP(A81,DB_TBL_DATA_FIELDS[[#All],[FIELD_ID]:[RANGE_VALIDATION_MAX]],18,FALSE)</f>
        <v>0</v>
      </c>
      <c r="F81" s="281">
        <f>VLOOKUP(A81,DB_TBL_DATA_FIELDS[[#All],[FIELD_ID]:[RANGE_VALIDATION_MAX]],19,FALSE)</f>
        <v>100</v>
      </c>
      <c r="G81" s="281" t="str">
        <f t="shared" ca="1" si="15"/>
        <v/>
      </c>
      <c r="H81" s="215"/>
      <c r="I81" s="596"/>
      <c r="J81" s="597"/>
      <c r="K81" s="597"/>
      <c r="L81" s="165">
        <f ca="1">G82</f>
        <v>1</v>
      </c>
      <c r="M81" s="621"/>
      <c r="N81" s="622"/>
      <c r="O81" s="622"/>
      <c r="P81" s="622"/>
      <c r="Q81" s="623"/>
      <c r="R81" s="165" t="str">
        <f ca="1">G83</f>
        <v/>
      </c>
      <c r="S81" s="624"/>
      <c r="T81" s="625"/>
      <c r="U81" s="625"/>
      <c r="V81" s="625"/>
      <c r="W81" s="626"/>
      <c r="X81" s="165" t="str">
        <f ca="1">G84</f>
        <v/>
      </c>
      <c r="Y81" s="215"/>
    </row>
    <row r="82" spans="1:25" ht="21.95" customHeight="1" x14ac:dyDescent="0.2">
      <c r="A82" s="273" t="s">
        <v>214</v>
      </c>
      <c r="B82" s="288" t="str">
        <f>IF(I81&lt;&gt;"",I81,"")</f>
        <v/>
      </c>
      <c r="C82" s="281">
        <f ca="1">VLOOKUP(A82,DB_TBL_DATA_FIELDS[[FIELD_ID]:[PCT_CALC_FIELD_STATUS_CODE]],22,FALSE)</f>
        <v>1</v>
      </c>
      <c r="D82" s="281" t="str">
        <f>IF(VLOOKUP(A82,DB_TBL_DATA_FIELDS[[FIELD_ID]:[ERROR_MESSAGE]],23,FALSE)&lt;&gt;0,VLOOKUP(A82,DB_TBL_DATA_FIELDS[[FIELD_ID]:[ERROR_MESSAGE]],23,FALSE),"")</f>
        <v/>
      </c>
      <c r="E82" s="281">
        <f>VLOOKUP(A82,DB_TBL_DATA_FIELDS[[#All],[FIELD_ID]:[RANGE_VALIDATION_MAX]],18,FALSE)</f>
        <v>1</v>
      </c>
      <c r="F82" s="281">
        <f>VLOOKUP(A82,DB_TBL_DATA_FIELDS[[#All],[FIELD_ID]:[RANGE_VALIDATION_MAX]],19,FALSE)</f>
        <v>999999999999</v>
      </c>
      <c r="G82" s="281">
        <f t="shared" ca="1" si="15"/>
        <v>1</v>
      </c>
      <c r="H82" s="215"/>
      <c r="I82" s="509" t="s">
        <v>3426</v>
      </c>
      <c r="J82" s="510"/>
      <c r="K82" s="510"/>
      <c r="L82" s="510"/>
      <c r="M82" s="510"/>
      <c r="N82" s="510"/>
      <c r="O82" s="510"/>
      <c r="P82" s="510"/>
      <c r="Q82" s="510"/>
      <c r="R82" s="510"/>
      <c r="S82" s="510"/>
      <c r="T82" s="510"/>
      <c r="U82" s="510"/>
      <c r="V82" s="510"/>
      <c r="W82" s="510"/>
      <c r="X82" s="153"/>
      <c r="Y82" s="215"/>
    </row>
    <row r="83" spans="1:25" ht="21.95" customHeight="1" x14ac:dyDescent="0.2">
      <c r="A83" s="273" t="s">
        <v>2450</v>
      </c>
      <c r="B83" s="288" t="str">
        <f>IF(M81&lt;&gt;"",M81,"")</f>
        <v/>
      </c>
      <c r="C83" s="281">
        <f ca="1">VLOOKUP(A83,DB_TBL_DATA_FIELDS[[FIELD_ID]:[PCT_CALC_FIELD_STATUS_CODE]],22,FALSE)</f>
        <v>-1</v>
      </c>
      <c r="D83" s="281" t="str">
        <f>IF(VLOOKUP(A83,DB_TBL_DATA_FIELDS[[FIELD_ID]:[ERROR_MESSAGE]],23,FALSE)&lt;&gt;0,VLOOKUP(A83,DB_TBL_DATA_FIELDS[[FIELD_ID]:[ERROR_MESSAGE]],23,FALSE),"")</f>
        <v/>
      </c>
      <c r="E83" s="281">
        <f>VLOOKUP(A83,DB_TBL_DATA_FIELDS[[#All],[FIELD_ID]:[RANGE_VALIDATION_MAX]],18,FALSE)</f>
        <v>0</v>
      </c>
      <c r="F83" s="281">
        <f>VLOOKUP(A83,DB_TBL_DATA_FIELDS[[#All],[FIELD_ID]:[RANGE_VALIDATION_MAX]],19,FALSE)</f>
        <v>999</v>
      </c>
      <c r="G83" s="281" t="str">
        <f t="shared" ca="1" si="15"/>
        <v/>
      </c>
      <c r="H83" s="215"/>
      <c r="I83" s="510"/>
      <c r="J83" s="510"/>
      <c r="K83" s="510"/>
      <c r="L83" s="510"/>
      <c r="M83" s="510"/>
      <c r="N83" s="510"/>
      <c r="O83" s="510"/>
      <c r="P83" s="510"/>
      <c r="Q83" s="510"/>
      <c r="R83" s="510"/>
      <c r="S83" s="510"/>
      <c r="T83" s="510"/>
      <c r="U83" s="510"/>
      <c r="V83" s="510"/>
      <c r="W83" s="510"/>
      <c r="X83" s="153"/>
      <c r="Y83" s="215"/>
    </row>
    <row r="84" spans="1:25" ht="21.95" customHeight="1" x14ac:dyDescent="0.2">
      <c r="A84" s="273" t="s">
        <v>215</v>
      </c>
      <c r="B84" s="288" t="str">
        <f>IF(S81&lt;&gt;"",S81,"")</f>
        <v/>
      </c>
      <c r="C84" s="281">
        <f ca="1">VLOOKUP(A84,DB_TBL_DATA_FIELDS[[FIELD_ID]:[PCT_CALC_FIELD_STATUS_CODE]],22,FALSE)</f>
        <v>-1</v>
      </c>
      <c r="D84" s="281" t="str">
        <f>IF(VLOOKUP(A84,DB_TBL_DATA_FIELDS[[FIELD_ID]:[ERROR_MESSAGE]],23,FALSE)&lt;&gt;0,VLOOKUP(A84,DB_TBL_DATA_FIELDS[[FIELD_ID]:[ERROR_MESSAGE]],23,FALSE),"")</f>
        <v/>
      </c>
      <c r="E84" s="281">
        <f>VLOOKUP(A84,DB_TBL_DATA_FIELDS[[#All],[FIELD_ID]:[RANGE_VALIDATION_MAX]],18,FALSE)</f>
        <v>0</v>
      </c>
      <c r="F84" s="281">
        <f>VLOOKUP(A84,DB_TBL_DATA_FIELDS[[#All],[FIELD_ID]:[RANGE_VALIDATION_MAX]],19,FALSE)</f>
        <v>1</v>
      </c>
      <c r="G84" s="281" t="str">
        <f t="shared" ca="1" si="15"/>
        <v/>
      </c>
      <c r="H84" s="215"/>
      <c r="I84" s="510"/>
      <c r="J84" s="510"/>
      <c r="K84" s="510"/>
      <c r="L84" s="510"/>
      <c r="M84" s="510"/>
      <c r="N84" s="510"/>
      <c r="O84" s="510"/>
      <c r="P84" s="510"/>
      <c r="Q84" s="510"/>
      <c r="R84" s="510"/>
      <c r="S84" s="510"/>
      <c r="T84" s="510"/>
      <c r="U84" s="510"/>
      <c r="V84" s="510"/>
      <c r="W84" s="510"/>
      <c r="X84" s="153"/>
      <c r="Y84" s="215"/>
    </row>
    <row r="85" spans="1:25" ht="21.95" customHeight="1" thickBot="1" x14ac:dyDescent="0.25">
      <c r="A85" s="273" t="s">
        <v>2475</v>
      </c>
      <c r="B85" s="295" t="b">
        <v>0</v>
      </c>
      <c r="C85" s="281" t="str">
        <f ca="1">VLOOKUP(A85,DB_TBL_DATA_FIELDS[[FIELD_ID]:[PCT_CALC_FIELD_STATUS_CODE]],22,FALSE)</f>
        <v/>
      </c>
      <c r="D85" s="281" t="str">
        <f>IF(VLOOKUP(A85,DB_TBL_DATA_FIELDS[[FIELD_ID]:[ERROR_MESSAGE]],23,FALSE)&lt;&gt;0,VLOOKUP(A85,DB_TBL_DATA_FIELDS[[FIELD_ID]:[ERROR_MESSAGE]],23,FALSE),"")</f>
        <v/>
      </c>
      <c r="E85" s="281">
        <f>VLOOKUP(A85,DB_TBL_DATA_FIELDS[[#All],[FIELD_ID]:[RANGE_VALIDATION_MAX]],18,FALSE)</f>
        <v>0</v>
      </c>
      <c r="F85" s="281">
        <f>VLOOKUP(A85,DB_TBL_DATA_FIELDS[[#All],[FIELD_ID]:[RANGE_VALIDATION_MAX]],19,FALSE)</f>
        <v>1</v>
      </c>
      <c r="G85" s="281" t="str">
        <f t="shared" ca="1" si="15"/>
        <v/>
      </c>
      <c r="H85" s="215"/>
      <c r="I85" s="216" t="s">
        <v>3427</v>
      </c>
      <c r="J85" s="217"/>
      <c r="K85" s="218"/>
      <c r="L85" s="217"/>
      <c r="M85" s="218"/>
      <c r="N85" s="217"/>
      <c r="O85" s="218"/>
      <c r="P85" s="217"/>
      <c r="Q85" s="218"/>
      <c r="R85" s="217"/>
      <c r="S85" s="218"/>
      <c r="T85" s="217"/>
      <c r="U85" s="218"/>
      <c r="V85" s="217"/>
      <c r="W85" s="218"/>
      <c r="X85" s="153"/>
      <c r="Y85" s="215"/>
    </row>
    <row r="86" spans="1:25" ht="21.95" customHeight="1" thickTop="1" x14ac:dyDescent="0.2">
      <c r="A86" s="273" t="s">
        <v>2476</v>
      </c>
      <c r="B86" s="295" t="b">
        <v>0</v>
      </c>
      <c r="C86" s="281" t="str">
        <f ca="1">VLOOKUP(A86,DB_TBL_DATA_FIELDS[[FIELD_ID]:[PCT_CALC_FIELD_STATUS_CODE]],22,FALSE)</f>
        <v/>
      </c>
      <c r="D86" s="281" t="str">
        <f>IF(VLOOKUP(A86,DB_TBL_DATA_FIELDS[[FIELD_ID]:[ERROR_MESSAGE]],23,FALSE)&lt;&gt;0,VLOOKUP(A86,DB_TBL_DATA_FIELDS[[FIELD_ID]:[ERROR_MESSAGE]],23,FALSE),"")</f>
        <v/>
      </c>
      <c r="E86" s="281">
        <f>VLOOKUP(A86,DB_TBL_DATA_FIELDS[[#All],[FIELD_ID]:[RANGE_VALIDATION_MAX]],18,FALSE)</f>
        <v>0</v>
      </c>
      <c r="F86" s="281">
        <f>VLOOKUP(A86,DB_TBL_DATA_FIELDS[[#All],[FIELD_ID]:[RANGE_VALIDATION_MAX]],19,FALSE)</f>
        <v>1</v>
      </c>
      <c r="G86" s="281" t="str">
        <f t="shared" ca="1" si="15"/>
        <v/>
      </c>
      <c r="H86" s="215"/>
      <c r="I86" s="499" t="s">
        <v>3428</v>
      </c>
      <c r="J86" s="498"/>
      <c r="K86" s="498"/>
      <c r="L86" s="498"/>
      <c r="M86" s="498"/>
      <c r="N86" s="498"/>
      <c r="O86" s="498"/>
      <c r="P86" s="498"/>
      <c r="Q86" s="498"/>
      <c r="R86" s="498"/>
      <c r="S86" s="498"/>
      <c r="T86" s="498"/>
      <c r="U86" s="498"/>
      <c r="V86" s="498"/>
      <c r="W86" s="498"/>
      <c r="X86" s="153"/>
      <c r="Y86" s="194"/>
    </row>
    <row r="87" spans="1:25" ht="21.95" customHeight="1" x14ac:dyDescent="0.2">
      <c r="A87" s="273" t="s">
        <v>2477</v>
      </c>
      <c r="B87" s="295" t="b">
        <v>0</v>
      </c>
      <c r="C87" s="281" t="str">
        <f ca="1">VLOOKUP(A87,DB_TBL_DATA_FIELDS[[FIELD_ID]:[PCT_CALC_FIELD_STATUS_CODE]],22,FALSE)</f>
        <v/>
      </c>
      <c r="D87" s="281" t="str">
        <f>IF(VLOOKUP(A87,DB_TBL_DATA_FIELDS[[FIELD_ID]:[ERROR_MESSAGE]],23,FALSE)&lt;&gt;0,VLOOKUP(A87,DB_TBL_DATA_FIELDS[[FIELD_ID]:[ERROR_MESSAGE]],23,FALSE),"")</f>
        <v/>
      </c>
      <c r="E87" s="281">
        <f>VLOOKUP(A87,DB_TBL_DATA_FIELDS[[#All],[FIELD_ID]:[RANGE_VALIDATION_MAX]],18,FALSE)</f>
        <v>0</v>
      </c>
      <c r="F87" s="281">
        <f>VLOOKUP(A87,DB_TBL_DATA_FIELDS[[#All],[FIELD_ID]:[RANGE_VALIDATION_MAX]],19,FALSE)</f>
        <v>1</v>
      </c>
      <c r="G87" s="281" t="str">
        <f t="shared" ca="1" si="15"/>
        <v/>
      </c>
      <c r="H87" s="215"/>
      <c r="I87" s="215"/>
      <c r="J87" s="153"/>
      <c r="K87" s="215"/>
      <c r="L87" s="153"/>
      <c r="M87" s="215"/>
      <c r="N87" s="165"/>
      <c r="O87" s="215"/>
      <c r="P87" s="153"/>
      <c r="Q87" s="215"/>
      <c r="R87" s="153"/>
      <c r="S87" s="215"/>
      <c r="T87" s="153"/>
      <c r="U87" s="215"/>
      <c r="V87" s="153"/>
      <c r="W87" s="215"/>
      <c r="X87" s="153"/>
      <c r="Y87" s="194"/>
    </row>
    <row r="88" spans="1:25" ht="21.95" customHeight="1" x14ac:dyDescent="0.2">
      <c r="A88" s="273" t="s">
        <v>2478</v>
      </c>
      <c r="B88" s="295" t="b">
        <v>0</v>
      </c>
      <c r="C88" s="281" t="str">
        <f ca="1">VLOOKUP(A88,DB_TBL_DATA_FIELDS[[FIELD_ID]:[PCT_CALC_FIELD_STATUS_CODE]],22,FALSE)</f>
        <v/>
      </c>
      <c r="D88" s="281" t="str">
        <f>IF(VLOOKUP(A88,DB_TBL_DATA_FIELDS[[FIELD_ID]:[ERROR_MESSAGE]],23,FALSE)&lt;&gt;0,VLOOKUP(A88,DB_TBL_DATA_FIELDS[[FIELD_ID]:[ERROR_MESSAGE]],23,FALSE),"")</f>
        <v/>
      </c>
      <c r="E88" s="281">
        <f>VLOOKUP(A88,DB_TBL_DATA_FIELDS[[#All],[FIELD_ID]:[RANGE_VALIDATION_MAX]],18,FALSE)</f>
        <v>0</v>
      </c>
      <c r="F88" s="281">
        <f>VLOOKUP(A88,DB_TBL_DATA_FIELDS[[#All],[FIELD_ID]:[RANGE_VALIDATION_MAX]],19,FALSE)</f>
        <v>1</v>
      </c>
      <c r="G88" s="281" t="str">
        <f t="shared" ca="1" si="15"/>
        <v/>
      </c>
      <c r="H88" s="215"/>
      <c r="I88" s="215"/>
      <c r="J88" s="153"/>
      <c r="K88" s="215"/>
      <c r="L88" s="153"/>
      <c r="M88" s="215"/>
      <c r="N88" s="153"/>
      <c r="O88" s="215"/>
      <c r="P88" s="153"/>
      <c r="Q88" s="215"/>
      <c r="R88" s="153"/>
      <c r="S88" s="215"/>
      <c r="T88" s="153"/>
      <c r="U88" s="215"/>
      <c r="V88" s="153"/>
      <c r="W88" s="215"/>
      <c r="X88" s="153"/>
      <c r="Y88" s="194"/>
    </row>
    <row r="89" spans="1:25" ht="21.95" customHeight="1" x14ac:dyDescent="0.2">
      <c r="A89" s="273" t="s">
        <v>2479</v>
      </c>
      <c r="B89" s="295" t="b">
        <v>0</v>
      </c>
      <c r="C89" s="281" t="str">
        <f ca="1">VLOOKUP(A89,DB_TBL_DATA_FIELDS[[FIELD_ID]:[PCT_CALC_FIELD_STATUS_CODE]],22,FALSE)</f>
        <v/>
      </c>
      <c r="D89" s="281" t="str">
        <f>IF(VLOOKUP(A89,DB_TBL_DATA_FIELDS[[FIELD_ID]:[ERROR_MESSAGE]],23,FALSE)&lt;&gt;0,VLOOKUP(A89,DB_TBL_DATA_FIELDS[[FIELD_ID]:[ERROR_MESSAGE]],23,FALSE),"")</f>
        <v/>
      </c>
      <c r="E89" s="281">
        <f>VLOOKUP(A89,DB_TBL_DATA_FIELDS[[#All],[FIELD_ID]:[RANGE_VALIDATION_MAX]],18,FALSE)</f>
        <v>0</v>
      </c>
      <c r="F89" s="281">
        <f>VLOOKUP(A89,DB_TBL_DATA_FIELDS[[#All],[FIELD_ID]:[RANGE_VALIDATION_MAX]],19,FALSE)</f>
        <v>1</v>
      </c>
      <c r="G89" s="281" t="str">
        <f t="shared" ca="1" si="15"/>
        <v/>
      </c>
      <c r="H89" s="215"/>
      <c r="I89" s="207" t="s">
        <v>3429</v>
      </c>
      <c r="J89" s="153"/>
      <c r="K89" s="215"/>
      <c r="L89" s="153"/>
      <c r="M89" s="215"/>
      <c r="N89" s="153"/>
      <c r="O89" s="215"/>
      <c r="P89" s="153"/>
      <c r="Q89" s="215"/>
      <c r="R89" s="153"/>
      <c r="S89" s="207" t="s">
        <v>3430</v>
      </c>
      <c r="T89" s="153"/>
      <c r="U89" s="215"/>
      <c r="V89" s="153"/>
      <c r="W89" s="215"/>
      <c r="X89" s="153"/>
      <c r="Y89" s="194"/>
    </row>
    <row r="90" spans="1:25" ht="21.95" customHeight="1" x14ac:dyDescent="0.2">
      <c r="A90" s="273" t="s">
        <v>2480</v>
      </c>
      <c r="B90" s="295" t="b">
        <v>0</v>
      </c>
      <c r="C90" s="281" t="str">
        <f ca="1">VLOOKUP(A90,DB_TBL_DATA_FIELDS[[FIELD_ID]:[PCT_CALC_FIELD_STATUS_CODE]],22,FALSE)</f>
        <v/>
      </c>
      <c r="D90" s="281" t="str">
        <f>IF(VLOOKUP(A90,DB_TBL_DATA_FIELDS[[FIELD_ID]:[ERROR_MESSAGE]],23,FALSE)&lt;&gt;0,VLOOKUP(A90,DB_TBL_DATA_FIELDS[[FIELD_ID]:[ERROR_MESSAGE]],23,FALSE),"")</f>
        <v/>
      </c>
      <c r="E90" s="281">
        <f>VLOOKUP(A90,DB_TBL_DATA_FIELDS[[#All],[FIELD_ID]:[RANGE_VALIDATION_MAX]],18,FALSE)</f>
        <v>0</v>
      </c>
      <c r="F90" s="281">
        <f>VLOOKUP(A90,DB_TBL_DATA_FIELDS[[#All],[FIELD_ID]:[RANGE_VALIDATION_MAX]],19,FALSE)</f>
        <v>1</v>
      </c>
      <c r="G90" s="281" t="str">
        <f t="shared" ca="1" si="15"/>
        <v/>
      </c>
      <c r="H90" s="215"/>
      <c r="I90" s="466"/>
      <c r="J90" s="467"/>
      <c r="K90" s="467"/>
      <c r="L90" s="467"/>
      <c r="M90" s="467"/>
      <c r="N90" s="467"/>
      <c r="O90" s="467"/>
      <c r="P90" s="467"/>
      <c r="Q90" s="468"/>
      <c r="R90" s="165" t="str">
        <f ca="1">G97</f>
        <v/>
      </c>
      <c r="S90" s="570"/>
      <c r="T90" s="571"/>
      <c r="U90" s="571"/>
      <c r="V90" s="571"/>
      <c r="W90" s="572"/>
      <c r="X90" s="165" t="str">
        <f ca="1">G96</f>
        <v/>
      </c>
      <c r="Y90" s="194"/>
    </row>
    <row r="91" spans="1:25" ht="21.95" customHeight="1" x14ac:dyDescent="0.2">
      <c r="A91" s="273" t="s">
        <v>2481</v>
      </c>
      <c r="B91" s="295" t="b">
        <v>0</v>
      </c>
      <c r="C91" s="281" t="str">
        <f ca="1">VLOOKUP(A91,DB_TBL_DATA_FIELDS[[FIELD_ID]:[PCT_CALC_FIELD_STATUS_CODE]],22,FALSE)</f>
        <v/>
      </c>
      <c r="D91" s="281" t="str">
        <f>IF(VLOOKUP(A91,DB_TBL_DATA_FIELDS[[FIELD_ID]:[ERROR_MESSAGE]],23,FALSE)&lt;&gt;0,VLOOKUP(A91,DB_TBL_DATA_FIELDS[[FIELD_ID]:[ERROR_MESSAGE]],23,FALSE),"")</f>
        <v/>
      </c>
      <c r="E91" s="281">
        <f>VLOOKUP(A91,DB_TBL_DATA_FIELDS[[#All],[FIELD_ID]:[RANGE_VALIDATION_MAX]],18,FALSE)</f>
        <v>0</v>
      </c>
      <c r="F91" s="281">
        <f>VLOOKUP(A91,DB_TBL_DATA_FIELDS[[#All],[FIELD_ID]:[RANGE_VALIDATION_MAX]],19,FALSE)</f>
        <v>1</v>
      </c>
      <c r="G91" s="281" t="str">
        <f t="shared" ca="1" si="15"/>
        <v/>
      </c>
      <c r="H91" s="215"/>
      <c r="I91" s="651" t="s">
        <v>3595</v>
      </c>
      <c r="J91" s="651"/>
      <c r="K91" s="651"/>
      <c r="L91" s="651"/>
      <c r="M91" s="651"/>
      <c r="N91" s="651"/>
      <c r="O91" s="651"/>
      <c r="P91" s="651"/>
      <c r="Q91" s="651"/>
      <c r="R91" s="651"/>
      <c r="S91" s="651"/>
      <c r="T91" s="651"/>
      <c r="U91" s="651"/>
      <c r="V91" s="651"/>
      <c r="W91" s="651"/>
      <c r="X91" s="190"/>
      <c r="Y91" s="194"/>
    </row>
    <row r="92" spans="1:25" ht="21.95" customHeight="1" x14ac:dyDescent="0.2">
      <c r="A92" s="273" t="s">
        <v>2482</v>
      </c>
      <c r="B92" s="295" t="b">
        <v>0</v>
      </c>
      <c r="C92" s="281" t="str">
        <f ca="1">VLOOKUP(A92,DB_TBL_DATA_FIELDS[[FIELD_ID]:[PCT_CALC_FIELD_STATUS_CODE]],22,FALSE)</f>
        <v/>
      </c>
      <c r="D92" s="281" t="str">
        <f>IF(VLOOKUP(A92,DB_TBL_DATA_FIELDS[[FIELD_ID]:[ERROR_MESSAGE]],23,FALSE)&lt;&gt;0,VLOOKUP(A92,DB_TBL_DATA_FIELDS[[FIELD_ID]:[ERROR_MESSAGE]],23,FALSE),"")</f>
        <v/>
      </c>
      <c r="E92" s="281">
        <f>VLOOKUP(A92,DB_TBL_DATA_FIELDS[[#All],[FIELD_ID]:[RANGE_VALIDATION_MAX]],18,FALSE)</f>
        <v>0</v>
      </c>
      <c r="F92" s="281">
        <f>VLOOKUP(A92,DB_TBL_DATA_FIELDS[[#All],[FIELD_ID]:[RANGE_VALIDATION_MAX]],19,FALSE)</f>
        <v>1</v>
      </c>
      <c r="G92" s="281" t="str">
        <f t="shared" ca="1" si="15"/>
        <v/>
      </c>
      <c r="H92" s="215"/>
      <c r="I92" s="651"/>
      <c r="J92" s="651"/>
      <c r="K92" s="651"/>
      <c r="L92" s="651"/>
      <c r="M92" s="651"/>
      <c r="N92" s="651"/>
      <c r="O92" s="651"/>
      <c r="P92" s="651"/>
      <c r="Q92" s="651"/>
      <c r="R92" s="651"/>
      <c r="S92" s="651"/>
      <c r="T92" s="651"/>
      <c r="U92" s="651"/>
      <c r="V92" s="651"/>
      <c r="W92" s="651"/>
      <c r="X92" s="190"/>
      <c r="Y92" s="194"/>
    </row>
    <row r="93" spans="1:25" ht="21.95" customHeight="1" x14ac:dyDescent="0.2">
      <c r="A93" s="273" t="s">
        <v>2483</v>
      </c>
      <c r="B93" s="295" t="b">
        <v>0</v>
      </c>
      <c r="C93" s="281" t="str">
        <f ca="1">VLOOKUP(A93,DB_TBL_DATA_FIELDS[[FIELD_ID]:[PCT_CALC_FIELD_STATUS_CODE]],22,FALSE)</f>
        <v/>
      </c>
      <c r="D93" s="281" t="str">
        <f>IF(VLOOKUP(A93,DB_TBL_DATA_FIELDS[[FIELD_ID]:[ERROR_MESSAGE]],23,FALSE)&lt;&gt;0,VLOOKUP(A93,DB_TBL_DATA_FIELDS[[FIELD_ID]:[ERROR_MESSAGE]],23,FALSE),"")</f>
        <v/>
      </c>
      <c r="E93" s="281">
        <f>VLOOKUP(A93,DB_TBL_DATA_FIELDS[[#All],[FIELD_ID]:[RANGE_VALIDATION_MAX]],18,FALSE)</f>
        <v>0</v>
      </c>
      <c r="F93" s="281">
        <f>VLOOKUP(A93,DB_TBL_DATA_FIELDS[[#All],[FIELD_ID]:[RANGE_VALIDATION_MAX]],19,FALSE)</f>
        <v>1</v>
      </c>
      <c r="G93" s="281" t="str">
        <f t="shared" ca="1" si="15"/>
        <v/>
      </c>
      <c r="H93" s="215"/>
      <c r="I93" s="215"/>
      <c r="J93" s="153"/>
      <c r="K93" s="215"/>
      <c r="L93" s="153"/>
      <c r="M93" s="215"/>
      <c r="N93" s="153"/>
      <c r="O93" s="215"/>
      <c r="P93" s="153"/>
      <c r="Q93" s="215"/>
      <c r="R93" s="153"/>
      <c r="S93" s="215"/>
      <c r="T93" s="153"/>
      <c r="U93" s="215"/>
      <c r="V93" s="153"/>
      <c r="W93" s="215"/>
      <c r="X93" s="153"/>
      <c r="Y93" s="194"/>
    </row>
    <row r="94" spans="1:25" ht="21.95" customHeight="1" thickBot="1" x14ac:dyDescent="0.25">
      <c r="A94" s="273" t="s">
        <v>2484</v>
      </c>
      <c r="B94" s="295" t="b">
        <v>0</v>
      </c>
      <c r="C94" s="281" t="str">
        <f ca="1">VLOOKUP(A94,DB_TBL_DATA_FIELDS[[FIELD_ID]:[PCT_CALC_FIELD_STATUS_CODE]],22,FALSE)</f>
        <v/>
      </c>
      <c r="D94" s="281" t="str">
        <f>IF(VLOOKUP(A94,DB_TBL_DATA_FIELDS[[FIELD_ID]:[ERROR_MESSAGE]],23,FALSE)&lt;&gt;0,VLOOKUP(A94,DB_TBL_DATA_FIELDS[[FIELD_ID]:[ERROR_MESSAGE]],23,FALSE),"")</f>
        <v/>
      </c>
      <c r="E94" s="281">
        <f>VLOOKUP(A94,DB_TBL_DATA_FIELDS[[#All],[FIELD_ID]:[RANGE_VALIDATION_MAX]],18,FALSE)</f>
        <v>0</v>
      </c>
      <c r="F94" s="281">
        <f>VLOOKUP(A94,DB_TBL_DATA_FIELDS[[#All],[FIELD_ID]:[RANGE_VALIDATION_MAX]],19,FALSE)</f>
        <v>1</v>
      </c>
      <c r="G94" s="281" t="str">
        <f t="shared" ca="1" si="15"/>
        <v/>
      </c>
      <c r="H94" s="215"/>
      <c r="I94" s="424" t="str">
        <f>B108</f>
        <v>Application Webinars and Technical Assistance</v>
      </c>
      <c r="J94" s="269"/>
      <c r="K94" s="269"/>
      <c r="L94" s="269"/>
      <c r="M94" s="269"/>
      <c r="N94" s="269"/>
      <c r="O94" s="269"/>
      <c r="P94" s="269"/>
      <c r="Q94" s="269"/>
      <c r="R94" s="269"/>
      <c r="S94" s="269"/>
      <c r="T94" s="269"/>
      <c r="U94" s="269"/>
      <c r="V94" s="269"/>
      <c r="W94" s="269"/>
      <c r="X94" s="167" t="str">
        <f ca="1">"Status: "&amp;$B$120</f>
        <v>Status: Not Started</v>
      </c>
      <c r="Y94" s="194"/>
    </row>
    <row r="95" spans="1:25" ht="21.95" customHeight="1" x14ac:dyDescent="0.2">
      <c r="A95" s="273" t="s">
        <v>2485</v>
      </c>
      <c r="B95" s="282" t="str">
        <f ca="1">VLOOKUP(A95,DB_TBL_DATA_FIELDS[[FIELD_ID]:[FIELD_VALUE_RAW]],5,FALSE)</f>
        <v/>
      </c>
      <c r="C95" s="281">
        <f ca="1">VLOOKUP(A95,DB_TBL_DATA_FIELDS[[FIELD_ID]:[PCT_CALC_FIELD_STATUS_CODE]],22,FALSE)</f>
        <v>-1</v>
      </c>
      <c r="D95" s="281" t="str">
        <f>IF(VLOOKUP(A95,DB_TBL_DATA_FIELDS[[FIELD_ID]:[ERROR_MESSAGE]],23,FALSE)&lt;&gt;0,VLOOKUP(A95,DB_TBL_DATA_FIELDS[[FIELD_ID]:[ERROR_MESSAGE]],23,FALSE),"")</f>
        <v/>
      </c>
      <c r="E95" s="281">
        <f>VLOOKUP(A95,DB_TBL_DATA_FIELDS[[#All],[FIELD_ID]:[RANGE_VALIDATION_MAX]],18,FALSE)</f>
        <v>0</v>
      </c>
      <c r="F95" s="281">
        <f>VLOOKUP(A95,DB_TBL_DATA_FIELDS[[#All],[FIELD_ID]:[RANGE_VALIDATION_MAX]],19,FALSE)</f>
        <v>100</v>
      </c>
      <c r="G95" s="281" t="str">
        <f t="shared" ca="1" si="15"/>
        <v/>
      </c>
      <c r="H95" s="215"/>
      <c r="I95" s="191"/>
      <c r="J95" s="191"/>
      <c r="K95" s="191"/>
      <c r="L95" s="191"/>
      <c r="M95" s="191"/>
      <c r="N95" s="191"/>
      <c r="O95" s="191"/>
      <c r="P95" s="153"/>
      <c r="Q95" s="194"/>
      <c r="R95" s="153"/>
      <c r="S95" s="194"/>
      <c r="T95" s="153"/>
      <c r="U95" s="194"/>
      <c r="V95" s="153"/>
      <c r="W95" s="194"/>
      <c r="X95" s="153"/>
      <c r="Y95" s="194"/>
    </row>
    <row r="96" spans="1:25" ht="21.95" customHeight="1" x14ac:dyDescent="0.2">
      <c r="A96" s="273" t="s">
        <v>2454</v>
      </c>
      <c r="B96" s="288" t="str">
        <f>IF(S90&lt;&gt;"",S90,"")</f>
        <v/>
      </c>
      <c r="C96" s="281">
        <f ca="1">VLOOKUP(A96,DB_TBL_DATA_FIELDS[[FIELD_ID]:[PCT_CALC_FIELD_STATUS_CODE]],22,FALSE)</f>
        <v>-1</v>
      </c>
      <c r="D96" s="281" t="str">
        <f>IF(VLOOKUP(A96,DB_TBL_DATA_FIELDS[[FIELD_ID]:[ERROR_MESSAGE]],23,FALSE)&lt;&gt;0,VLOOKUP(A96,DB_TBL_DATA_FIELDS[[FIELD_ID]:[ERROR_MESSAGE]],23,FALSE),"")</f>
        <v/>
      </c>
      <c r="E96" s="281">
        <f>VLOOKUP(A96,DB_TBL_DATA_FIELDS[[#All],[FIELD_ID]:[RANGE_VALIDATION_MAX]],18,FALSE)</f>
        <v>1</v>
      </c>
      <c r="F96" s="281">
        <f>VLOOKUP(A96,DB_TBL_DATA_FIELDS[[#All],[FIELD_ID]:[RANGE_VALIDATION_MAX]],19,FALSE)</f>
        <v>999999999999</v>
      </c>
      <c r="G96" s="281" t="str">
        <f t="shared" ca="1" si="15"/>
        <v/>
      </c>
      <c r="H96" s="215"/>
      <c r="I96" s="191"/>
      <c r="J96" s="191"/>
      <c r="K96" s="191"/>
      <c r="L96" s="191"/>
      <c r="M96" s="191"/>
      <c r="N96" s="191"/>
      <c r="O96" s="191"/>
      <c r="P96" s="153"/>
      <c r="Q96" s="194"/>
      <c r="R96" s="153"/>
      <c r="S96" s="194"/>
      <c r="T96" s="153"/>
      <c r="U96" s="194"/>
      <c r="V96" s="153"/>
      <c r="W96" s="194"/>
      <c r="X96" s="153"/>
      <c r="Y96" s="194"/>
    </row>
    <row r="97" spans="1:25" ht="21.95" customHeight="1" x14ac:dyDescent="0.2">
      <c r="A97" s="273" t="s">
        <v>2455</v>
      </c>
      <c r="B97" s="288" t="str">
        <f>IF(I90&lt;&gt;"",I90,"")</f>
        <v/>
      </c>
      <c r="C97" s="281">
        <f ca="1">VLOOKUP(A97,DB_TBL_DATA_FIELDS[[FIELD_ID]:[PCT_CALC_FIELD_STATUS_CODE]],22,FALSE)</f>
        <v>-1</v>
      </c>
      <c r="D97" s="281" t="str">
        <f>IF(VLOOKUP(A97,DB_TBL_DATA_FIELDS[[FIELD_ID]:[ERROR_MESSAGE]],23,FALSE)&lt;&gt;0,VLOOKUP(A97,DB_TBL_DATA_FIELDS[[FIELD_ID]:[ERROR_MESSAGE]],23,FALSE),"")</f>
        <v/>
      </c>
      <c r="E97" s="281">
        <f>VLOOKUP(A97,DB_TBL_DATA_FIELDS[[#All],[FIELD_ID]:[RANGE_VALIDATION_MAX]],18,FALSE)</f>
        <v>0</v>
      </c>
      <c r="F97" s="281">
        <f>VLOOKUP(A97,DB_TBL_DATA_FIELDS[[#All],[FIELD_ID]:[RANGE_VALIDATION_MAX]],19,FALSE)</f>
        <v>100</v>
      </c>
      <c r="G97" s="281" t="str">
        <f t="shared" ca="1" si="15"/>
        <v/>
      </c>
      <c r="H97" s="215"/>
      <c r="I97" s="499" t="s">
        <v>2513</v>
      </c>
      <c r="J97" s="499"/>
      <c r="K97" s="499"/>
      <c r="L97" s="499"/>
      <c r="M97" s="499"/>
      <c r="N97" s="499"/>
      <c r="O97" s="499"/>
      <c r="P97" s="499"/>
      <c r="Q97" s="499"/>
      <c r="R97" s="499"/>
      <c r="S97" s="499"/>
      <c r="T97" s="499"/>
      <c r="U97" s="499"/>
      <c r="V97" s="153"/>
      <c r="W97" s="316"/>
      <c r="X97" s="165">
        <f ca="1">G109</f>
        <v>1</v>
      </c>
      <c r="Y97" s="194"/>
    </row>
    <row r="98" spans="1:25" ht="21.95" customHeight="1" x14ac:dyDescent="0.2">
      <c r="A98" s="290" t="s">
        <v>233</v>
      </c>
      <c r="B98" s="282" t="str">
        <f>"C"&amp;MATCH(LEFT(A98,LEN(A98)-LEN("_RANGE")),A:A,0)+1&amp;":C"&amp;(ROW()-1)</f>
        <v>C78:C97</v>
      </c>
      <c r="C98" s="281"/>
      <c r="D98" s="281"/>
      <c r="E98" s="281"/>
      <c r="F98" s="281"/>
      <c r="G98" s="281"/>
      <c r="H98" s="215"/>
      <c r="I98" s="148"/>
      <c r="J98" s="148"/>
      <c r="K98" s="148"/>
      <c r="L98" s="148"/>
      <c r="M98" s="148"/>
      <c r="N98" s="148"/>
      <c r="O98" s="148"/>
      <c r="P98" s="148"/>
      <c r="Q98" s="148"/>
      <c r="R98" s="148"/>
      <c r="S98" s="148"/>
      <c r="T98" s="148"/>
      <c r="U98" s="148"/>
      <c r="V98" s="153"/>
      <c r="W98" s="194"/>
      <c r="X98" s="153"/>
      <c r="Y98" s="194"/>
    </row>
    <row r="99" spans="1:25" ht="21.95" customHeight="1" x14ac:dyDescent="0.2">
      <c r="A99" s="290" t="s">
        <v>234</v>
      </c>
      <c r="B99" s="282">
        <f ca="1">COUNTIF(INDIRECT($B98),2)</f>
        <v>0</v>
      </c>
      <c r="C99" s="281"/>
      <c r="D99" s="281"/>
      <c r="E99" s="281"/>
      <c r="F99" s="281"/>
      <c r="G99" s="281"/>
      <c r="H99" s="215"/>
      <c r="I99" s="499" t="s">
        <v>2514</v>
      </c>
      <c r="J99" s="499"/>
      <c r="K99" s="499"/>
      <c r="L99" s="499"/>
      <c r="M99" s="499"/>
      <c r="N99" s="499"/>
      <c r="O99" s="499"/>
      <c r="P99" s="499"/>
      <c r="Q99" s="499"/>
      <c r="R99" s="499"/>
      <c r="S99" s="499"/>
      <c r="T99" s="499"/>
      <c r="U99" s="499"/>
      <c r="V99" s="153"/>
      <c r="W99" s="316"/>
      <c r="X99" s="165">
        <f ca="1">G110</f>
        <v>1</v>
      </c>
      <c r="Y99" s="194"/>
    </row>
    <row r="100" spans="1:25" ht="21.95" customHeight="1" x14ac:dyDescent="0.2">
      <c r="A100" s="290" t="s">
        <v>235</v>
      </c>
      <c r="B100" s="282">
        <f ca="1">COUNTIF(INDIRECT($B98),0)+COUNTIF(INDIRECT($B98),1)+COUNTIF(INDIRECT($B98),2)</f>
        <v>3</v>
      </c>
      <c r="C100" s="281"/>
      <c r="D100" s="281"/>
      <c r="E100" s="281"/>
      <c r="F100" s="281"/>
      <c r="G100" s="281"/>
      <c r="H100" s="215"/>
      <c r="I100" s="148"/>
      <c r="J100" s="148"/>
      <c r="K100" s="148"/>
      <c r="L100" s="148"/>
      <c r="M100" s="148"/>
      <c r="N100" s="148"/>
      <c r="O100" s="148"/>
      <c r="P100" s="148"/>
      <c r="Q100" s="148"/>
      <c r="R100" s="148"/>
      <c r="S100" s="148"/>
      <c r="T100" s="148"/>
      <c r="U100" s="148"/>
      <c r="V100" s="153"/>
      <c r="W100" s="194"/>
      <c r="X100" s="153"/>
      <c r="Y100" s="194"/>
    </row>
    <row r="101" spans="1:25" ht="21.95" customHeight="1" x14ac:dyDescent="0.2">
      <c r="A101" s="290" t="s">
        <v>236</v>
      </c>
      <c r="B101" s="282">
        <f ca="1">COUNTIF(INDIRECT($B98),0)</f>
        <v>0</v>
      </c>
      <c r="C101" s="281" t="s">
        <v>2607</v>
      </c>
      <c r="D101" s="281"/>
      <c r="E101" s="281"/>
      <c r="F101" s="281"/>
      <c r="G101" s="281"/>
      <c r="H101" s="215"/>
      <c r="I101" s="499" t="s">
        <v>3431</v>
      </c>
      <c r="J101" s="498"/>
      <c r="K101" s="498"/>
      <c r="L101" s="498"/>
      <c r="M101" s="498"/>
      <c r="N101" s="498"/>
      <c r="O101" s="498"/>
      <c r="P101" s="498"/>
      <c r="Q101" s="498"/>
      <c r="R101" s="498"/>
      <c r="S101" s="498"/>
      <c r="T101" s="498"/>
      <c r="U101" s="498"/>
      <c r="V101" s="153"/>
      <c r="W101" s="220"/>
      <c r="X101" s="165">
        <f ca="1">G111</f>
        <v>1</v>
      </c>
      <c r="Y101" s="194"/>
    </row>
    <row r="102" spans="1:25" ht="21.95" customHeight="1" x14ac:dyDescent="0.2">
      <c r="A102" s="290" t="s">
        <v>237</v>
      </c>
      <c r="B102" s="291">
        <f ca="1">IFERROR(B99/B100,1.01)</f>
        <v>0</v>
      </c>
      <c r="C102" s="281"/>
      <c r="D102" s="281"/>
      <c r="E102" s="281"/>
      <c r="F102" s="281"/>
      <c r="G102" s="281"/>
      <c r="H102" s="215"/>
      <c r="I102" s="221" t="s">
        <v>3483</v>
      </c>
      <c r="J102" s="153"/>
      <c r="K102" s="215"/>
      <c r="L102" s="153"/>
      <c r="M102" s="215"/>
      <c r="N102" s="153"/>
      <c r="O102" s="215"/>
      <c r="P102" s="153"/>
      <c r="Q102" s="215"/>
      <c r="R102" s="153"/>
      <c r="S102" s="608"/>
      <c r="T102" s="609"/>
      <c r="U102" s="609"/>
      <c r="V102" s="609"/>
      <c r="W102" s="610"/>
      <c r="X102" s="165" t="str">
        <f ca="1">G112</f>
        <v/>
      </c>
      <c r="Y102" s="194"/>
    </row>
    <row r="103" spans="1:25" ht="21.95" customHeight="1" x14ac:dyDescent="0.2">
      <c r="A103" s="290" t="s">
        <v>238</v>
      </c>
      <c r="B103" s="292" t="str">
        <f ca="1">IF(B101&gt;0,"Data Error(s)",IF(B102=0,"Not Started",IF(B102&lt;1,ROUNDUP(B102*100,0)&amp;"% Done",IF(B102&gt;1,"Optional","Complete"))))</f>
        <v>Not Started</v>
      </c>
      <c r="C103" s="281"/>
      <c r="D103" s="281"/>
      <c r="E103" s="281"/>
      <c r="F103" s="281"/>
      <c r="G103" s="281"/>
      <c r="H103" s="215"/>
      <c r="I103" s="221" t="s">
        <v>3484</v>
      </c>
      <c r="J103" s="153"/>
      <c r="K103" s="215"/>
      <c r="L103" s="153"/>
      <c r="M103" s="215"/>
      <c r="N103" s="153"/>
      <c r="O103" s="215"/>
      <c r="P103" s="153"/>
      <c r="Q103" s="215"/>
      <c r="R103" s="153"/>
      <c r="S103" s="611"/>
      <c r="T103" s="612"/>
      <c r="U103" s="612"/>
      <c r="V103" s="612"/>
      <c r="W103" s="613"/>
      <c r="X103" s="165" t="str">
        <f ca="1">G113</f>
        <v/>
      </c>
      <c r="Y103" s="194"/>
    </row>
    <row r="104" spans="1:25" ht="21.95" customHeight="1" x14ac:dyDescent="0.2">
      <c r="A104" s="290" t="s">
        <v>239</v>
      </c>
      <c r="B104" s="282" t="str">
        <f ca="1">IF(B101&gt;0,0,IF(B102&lt;1,"",2))</f>
        <v/>
      </c>
      <c r="C104" s="281"/>
      <c r="D104" s="281"/>
      <c r="E104" s="281"/>
      <c r="F104" s="281"/>
      <c r="G104" s="281"/>
      <c r="H104" s="215"/>
      <c r="I104" s="191"/>
      <c r="J104" s="191"/>
      <c r="K104" s="191"/>
      <c r="L104" s="191"/>
      <c r="M104" s="191"/>
      <c r="N104" s="191"/>
      <c r="O104" s="191"/>
      <c r="P104" s="153"/>
      <c r="Q104" s="194"/>
      <c r="R104" s="153"/>
      <c r="S104" s="194"/>
      <c r="T104" s="153"/>
      <c r="U104" s="194"/>
      <c r="V104" s="153"/>
      <c r="W104" s="194"/>
      <c r="X104" s="153"/>
      <c r="Y104" s="194"/>
    </row>
    <row r="105" spans="1:25" ht="21.95" customHeight="1" x14ac:dyDescent="0.2">
      <c r="A105" s="290" t="s">
        <v>240</v>
      </c>
      <c r="B105" s="293" t="s">
        <v>287</v>
      </c>
      <c r="C105" s="281"/>
      <c r="D105" s="281"/>
      <c r="E105" s="281"/>
      <c r="F105" s="281"/>
      <c r="G105" s="281"/>
      <c r="H105" s="215"/>
      <c r="I105" s="563" t="s">
        <v>3432</v>
      </c>
      <c r="J105" s="614"/>
      <c r="K105" s="614"/>
      <c r="L105" s="614"/>
      <c r="M105" s="614"/>
      <c r="N105" s="614"/>
      <c r="O105" s="614"/>
      <c r="P105" s="614"/>
      <c r="Q105" s="614"/>
      <c r="R105" s="614"/>
      <c r="S105" s="614"/>
      <c r="T105" s="614"/>
      <c r="U105" s="614"/>
      <c r="V105" s="153"/>
      <c r="W105" s="316"/>
      <c r="X105" s="165">
        <f ca="1">G114</f>
        <v>1</v>
      </c>
      <c r="Y105" s="194"/>
    </row>
    <row r="106" spans="1:25" ht="21.95" customHeight="1" x14ac:dyDescent="0.2">
      <c r="A106" s="294" t="s">
        <v>2362</v>
      </c>
      <c r="B106" s="282">
        <v>0</v>
      </c>
      <c r="C106" s="281" t="s">
        <v>2462</v>
      </c>
      <c r="D106" s="281"/>
      <c r="E106" s="281"/>
      <c r="F106" s="281"/>
      <c r="G106" s="281"/>
      <c r="H106" s="215"/>
      <c r="I106" s="614"/>
      <c r="J106" s="614"/>
      <c r="K106" s="614"/>
      <c r="L106" s="614"/>
      <c r="M106" s="614"/>
      <c r="N106" s="614"/>
      <c r="O106" s="614"/>
      <c r="P106" s="614"/>
      <c r="Q106" s="614"/>
      <c r="R106" s="614"/>
      <c r="S106" s="614"/>
      <c r="T106" s="614"/>
      <c r="U106" s="614"/>
      <c r="V106" s="153"/>
      <c r="W106" s="194"/>
      <c r="X106" s="153"/>
      <c r="Y106" s="194"/>
    </row>
    <row r="107" spans="1:25" ht="21.95" customHeight="1" x14ac:dyDescent="0.2">
      <c r="A107" s="294" t="s">
        <v>2363</v>
      </c>
      <c r="B107" s="282" t="b">
        <f>(B106&gt;0)</f>
        <v>0</v>
      </c>
      <c r="C107" s="281"/>
      <c r="D107" s="281"/>
      <c r="E107" s="281"/>
      <c r="F107" s="281"/>
      <c r="G107" s="281"/>
      <c r="H107" s="215"/>
      <c r="I107" s="191"/>
      <c r="J107" s="191"/>
      <c r="K107" s="191"/>
      <c r="L107" s="191"/>
      <c r="M107" s="191"/>
      <c r="N107" s="191"/>
      <c r="O107" s="191"/>
      <c r="P107" s="153"/>
      <c r="Q107" s="194"/>
      <c r="R107" s="153"/>
      <c r="S107" s="194"/>
      <c r="T107" s="153"/>
      <c r="U107" s="194"/>
      <c r="V107" s="153"/>
      <c r="W107" s="194"/>
      <c r="X107" s="153"/>
      <c r="Y107" s="194"/>
    </row>
    <row r="108" spans="1:25" ht="21.95" customHeight="1" thickBot="1" x14ac:dyDescent="0.25">
      <c r="A108" s="285" t="s">
        <v>245</v>
      </c>
      <c r="B108" s="305" t="s">
        <v>2512</v>
      </c>
      <c r="C108" s="287"/>
      <c r="D108" s="287"/>
      <c r="E108" s="287"/>
      <c r="F108" s="287"/>
      <c r="G108" s="172" t="str">
        <f>B122</f>
        <v>Webinars &amp; Technical Assistance</v>
      </c>
      <c r="H108" s="215"/>
      <c r="I108" s="424" t="str">
        <f>B125</f>
        <v>Project Type and Characteristics</v>
      </c>
      <c r="J108" s="269"/>
      <c r="K108" s="269"/>
      <c r="L108" s="269"/>
      <c r="M108" s="269"/>
      <c r="N108" s="269"/>
      <c r="O108" s="269"/>
      <c r="P108" s="269"/>
      <c r="Q108" s="269"/>
      <c r="R108" s="269"/>
      <c r="S108" s="269"/>
      <c r="T108" s="269"/>
      <c r="U108" s="269"/>
      <c r="V108" s="269"/>
      <c r="W108" s="269"/>
      <c r="X108" s="167" t="str">
        <f ca="1">"Status: "&amp;$B$163</f>
        <v>Status: Not Started</v>
      </c>
      <c r="Y108" s="194"/>
    </row>
    <row r="109" spans="1:25" ht="21.95" customHeight="1" x14ac:dyDescent="0.2">
      <c r="A109" s="273" t="s">
        <v>2524</v>
      </c>
      <c r="B109" s="288" t="str">
        <f>IF(W97="","",IF(UPPER(W97)="YES",TRUE,FALSE))</f>
        <v/>
      </c>
      <c r="C109" s="281">
        <f ca="1">VLOOKUP(A109,DB_TBL_DATA_FIELDS[[FIELD_ID]:[PCT_CALC_FIELD_STATUS_CODE]],22,FALSE)</f>
        <v>1</v>
      </c>
      <c r="D109" s="281" t="str">
        <f>IF(VLOOKUP(A109,DB_TBL_DATA_FIELDS[[FIELD_ID]:[ERROR_MESSAGE]],23,FALSE)&lt;&gt;0,VLOOKUP(A109,DB_TBL_DATA_FIELDS[[FIELD_ID]:[ERROR_MESSAGE]],23,FALSE),"")</f>
        <v/>
      </c>
      <c r="E109" s="281">
        <f>VLOOKUP(A109,DB_TBL_DATA_FIELDS[[#All],[FIELD_ID]:[RANGE_VALIDATION_MAX]],18,FALSE)</f>
        <v>0</v>
      </c>
      <c r="F109" s="281">
        <f>VLOOKUP(A109,DB_TBL_DATA_FIELDS[[#All],[FIELD_ID]:[RANGE_VALIDATION_MAX]],19,FALSE)</f>
        <v>1</v>
      </c>
      <c r="G109" s="281">
        <f t="shared" ref="G109:G114" ca="1" si="16">IF(C109&lt;0,"",C109)</f>
        <v>1</v>
      </c>
      <c r="H109" s="215"/>
      <c r="I109" s="191"/>
      <c r="J109" s="191"/>
      <c r="K109" s="191"/>
      <c r="L109" s="191"/>
      <c r="M109" s="191"/>
      <c r="N109" s="191"/>
      <c r="O109" s="191"/>
      <c r="P109" s="153"/>
      <c r="Q109" s="194"/>
      <c r="R109" s="153"/>
      <c r="S109" s="194"/>
      <c r="T109" s="153"/>
      <c r="U109" s="194"/>
      <c r="V109" s="153"/>
      <c r="W109" s="194"/>
      <c r="X109" s="153"/>
      <c r="Y109" s="194"/>
    </row>
    <row r="110" spans="1:25" ht="21.95" customHeight="1" thickBot="1" x14ac:dyDescent="0.25">
      <c r="A110" s="273" t="s">
        <v>2521</v>
      </c>
      <c r="B110" s="288" t="str">
        <f>IF(W99="","",IF(UPPER(W99)="YES",TRUE,FALSE))</f>
        <v/>
      </c>
      <c r="C110" s="281">
        <f ca="1">VLOOKUP(A110,DB_TBL_DATA_FIELDS[[FIELD_ID]:[PCT_CALC_FIELD_STATUS_CODE]],22,FALSE)</f>
        <v>1</v>
      </c>
      <c r="D110" s="281" t="str">
        <f>IF(VLOOKUP(A110,DB_TBL_DATA_FIELDS[[FIELD_ID]:[ERROR_MESSAGE]],23,FALSE)&lt;&gt;0,VLOOKUP(A110,DB_TBL_DATA_FIELDS[[FIELD_ID]:[ERROR_MESSAGE]],23,FALSE),"")</f>
        <v/>
      </c>
      <c r="E110" s="281">
        <f>VLOOKUP(A110,DB_TBL_DATA_FIELDS[[#All],[FIELD_ID]:[RANGE_VALIDATION_MAX]],18,FALSE)</f>
        <v>0</v>
      </c>
      <c r="F110" s="281">
        <f>VLOOKUP(A110,DB_TBL_DATA_FIELDS[[#All],[FIELD_ID]:[RANGE_VALIDATION_MAX]],19,FALSE)</f>
        <v>1</v>
      </c>
      <c r="G110" s="281">
        <f ca="1">IF(C110&lt;0,"",C110)</f>
        <v>1</v>
      </c>
      <c r="H110" s="215"/>
      <c r="I110" s="216" t="s">
        <v>274</v>
      </c>
      <c r="J110" s="222"/>
      <c r="K110" s="222"/>
      <c r="L110" s="222"/>
      <c r="M110" s="222"/>
      <c r="N110" s="222"/>
      <c r="O110" s="222"/>
      <c r="P110" s="217"/>
      <c r="Q110" s="223"/>
      <c r="R110" s="217"/>
      <c r="S110" s="223"/>
      <c r="T110" s="217"/>
      <c r="U110" s="223"/>
      <c r="V110" s="217"/>
      <c r="W110" s="223"/>
      <c r="X110" s="153"/>
      <c r="Y110" s="194"/>
    </row>
    <row r="111" spans="1:25" ht="21.95" customHeight="1" thickTop="1" x14ac:dyDescent="0.2">
      <c r="A111" s="273" t="s">
        <v>2522</v>
      </c>
      <c r="B111" s="288" t="str">
        <f>IF(W101="","",IF(UPPER(W101)="YES",TRUE,FALSE))</f>
        <v/>
      </c>
      <c r="C111" s="281">
        <f ca="1">VLOOKUP(A111,DB_TBL_DATA_FIELDS[[FIELD_ID]:[PCT_CALC_FIELD_STATUS_CODE]],22,FALSE)</f>
        <v>1</v>
      </c>
      <c r="D111" s="281" t="str">
        <f>IF(VLOOKUP(A111,DB_TBL_DATA_FIELDS[[FIELD_ID]:[ERROR_MESSAGE]],23,FALSE)&lt;&gt;0,VLOOKUP(A111,DB_TBL_DATA_FIELDS[[FIELD_ID]:[ERROR_MESSAGE]],23,FALSE),"")</f>
        <v/>
      </c>
      <c r="E111" s="281">
        <f>VLOOKUP(A111,DB_TBL_DATA_FIELDS[[#All],[FIELD_ID]:[RANGE_VALIDATION_MAX]],18,FALSE)</f>
        <v>0</v>
      </c>
      <c r="F111" s="281">
        <f>VLOOKUP(A111,DB_TBL_DATA_FIELDS[[#All],[FIELD_ID]:[RANGE_VALIDATION_MAX]],19,FALSE)</f>
        <v>1</v>
      </c>
      <c r="G111" s="281">
        <f t="shared" ca="1" si="16"/>
        <v>1</v>
      </c>
      <c r="H111" s="215"/>
      <c r="I111" s="208"/>
      <c r="J111" s="224"/>
      <c r="K111" s="224"/>
      <c r="L111" s="224"/>
      <c r="M111" s="224"/>
      <c r="N111" s="224"/>
      <c r="O111" s="224"/>
      <c r="P111" s="140"/>
      <c r="Q111" s="225"/>
      <c r="R111" s="140"/>
      <c r="S111" s="225"/>
      <c r="T111" s="140"/>
      <c r="U111" s="225"/>
      <c r="V111" s="140"/>
      <c r="W111" s="225"/>
      <c r="X111" s="153"/>
      <c r="Y111" s="194"/>
    </row>
    <row r="112" spans="1:25" ht="21.95" customHeight="1" x14ac:dyDescent="0.2">
      <c r="A112" s="273" t="s">
        <v>2499</v>
      </c>
      <c r="B112" s="288" t="str">
        <f>IF(S102&lt;&gt;"",S102,"")</f>
        <v/>
      </c>
      <c r="C112" s="281">
        <f ca="1">VLOOKUP(A112,DB_TBL_DATA_FIELDS[[FIELD_ID]:[PCT_CALC_FIELD_STATUS_CODE]],22,FALSE)</f>
        <v>-1</v>
      </c>
      <c r="D112" s="281" t="str">
        <f>IF(VLOOKUP(A112,DB_TBL_DATA_FIELDS[[FIELD_ID]:[ERROR_MESSAGE]],23,FALSE)&lt;&gt;0,VLOOKUP(A112,DB_TBL_DATA_FIELDS[[FIELD_ID]:[ERROR_MESSAGE]],23,FALSE),"")</f>
        <v/>
      </c>
      <c r="E112" s="281">
        <f>VLOOKUP(A112,DB_TBL_DATA_FIELDS[[#All],[FIELD_ID]:[RANGE_VALIDATION_MAX]],18,FALSE)</f>
        <v>0</v>
      </c>
      <c r="F112" s="281">
        <f>VLOOKUP(A112,DB_TBL_DATA_FIELDS[[#All],[FIELD_ID]:[RANGE_VALIDATION_MAX]],19,FALSE)</f>
        <v>100</v>
      </c>
      <c r="G112" s="281" t="str">
        <f t="shared" ca="1" si="16"/>
        <v/>
      </c>
      <c r="H112" s="215"/>
      <c r="I112" s="226" t="s">
        <v>3380</v>
      </c>
      <c r="J112" s="153"/>
      <c r="K112" s="215"/>
      <c r="L112" s="153"/>
      <c r="M112" s="215"/>
      <c r="N112" s="153"/>
      <c r="O112" s="215"/>
      <c r="P112" s="153"/>
      <c r="Q112" s="215"/>
      <c r="R112" s="153"/>
      <c r="S112" s="215"/>
      <c r="T112" s="153"/>
      <c r="U112" s="615"/>
      <c r="V112" s="616"/>
      <c r="W112" s="617"/>
      <c r="X112" s="165">
        <f ca="1">G127</f>
        <v>1</v>
      </c>
      <c r="Y112" s="194"/>
    </row>
    <row r="113" spans="1:25" ht="21.95" customHeight="1" x14ac:dyDescent="0.2">
      <c r="A113" s="273" t="s">
        <v>2502</v>
      </c>
      <c r="B113" s="288" t="str">
        <f>IF(S103&lt;&gt;"",S103,"")</f>
        <v/>
      </c>
      <c r="C113" s="281">
        <f ca="1">VLOOKUP(A113,DB_TBL_DATA_FIELDS[[FIELD_ID]:[PCT_CALC_FIELD_STATUS_CODE]],22,FALSE)</f>
        <v>-1</v>
      </c>
      <c r="D113" s="281" t="str">
        <f>IF(VLOOKUP(A113,DB_TBL_DATA_FIELDS[[FIELD_ID]:[ERROR_MESSAGE]],23,FALSE)&lt;&gt;0,VLOOKUP(A113,DB_TBL_DATA_FIELDS[[FIELD_ID]:[ERROR_MESSAGE]],23,FALSE),"")</f>
        <v/>
      </c>
      <c r="E113" s="281">
        <f>VLOOKUP(A113,DB_TBL_DATA_FIELDS[[#All],[FIELD_ID]:[RANGE_VALIDATION_MAX]],18,FALSE)</f>
        <v>0</v>
      </c>
      <c r="F113" s="281">
        <f>VLOOKUP(A113,DB_TBL_DATA_FIELDS[[#All],[FIELD_ID]:[RANGE_VALIDATION_MAX]],19,FALSE)</f>
        <v>100</v>
      </c>
      <c r="G113" s="281" t="str">
        <f t="shared" ca="1" si="16"/>
        <v/>
      </c>
      <c r="H113" s="215"/>
      <c r="I113" s="226" t="s">
        <v>3362</v>
      </c>
      <c r="J113" s="153"/>
      <c r="K113" s="215"/>
      <c r="L113" s="153"/>
      <c r="M113" s="215"/>
      <c r="N113" s="153"/>
      <c r="O113" s="215"/>
      <c r="P113" s="153"/>
      <c r="Q113" s="215"/>
      <c r="R113" s="153"/>
      <c r="S113" s="215"/>
      <c r="T113" s="153"/>
      <c r="U113" s="215"/>
      <c r="V113" s="153"/>
      <c r="W113" s="316"/>
      <c r="X113" s="165" t="str">
        <f ca="1">G129</f>
        <v/>
      </c>
      <c r="Y113" s="194"/>
    </row>
    <row r="114" spans="1:25" ht="21.95" customHeight="1" x14ac:dyDescent="0.2">
      <c r="A114" s="273" t="s">
        <v>2523</v>
      </c>
      <c r="B114" s="288" t="str">
        <f>IF(W105="","",IF(UPPER(W105)="YES",TRUE,FALSE))</f>
        <v/>
      </c>
      <c r="C114" s="281">
        <f ca="1">VLOOKUP(A114,DB_TBL_DATA_FIELDS[[FIELD_ID]:[PCT_CALC_FIELD_STATUS_CODE]],22,FALSE)</f>
        <v>1</v>
      </c>
      <c r="D114" s="281" t="str">
        <f>IF(VLOOKUP(A114,DB_TBL_DATA_FIELDS[[FIELD_ID]:[ERROR_MESSAGE]],23,FALSE)&lt;&gt;0,VLOOKUP(A114,DB_TBL_DATA_FIELDS[[FIELD_ID]:[ERROR_MESSAGE]],23,FALSE),"")</f>
        <v/>
      </c>
      <c r="E114" s="281">
        <f>VLOOKUP(A114,DB_TBL_DATA_FIELDS[[#All],[FIELD_ID]:[RANGE_VALIDATION_MAX]],18,FALSE)</f>
        <v>0</v>
      </c>
      <c r="F114" s="281">
        <f>VLOOKUP(A114,DB_TBL_DATA_FIELDS[[#All],[FIELD_ID]:[RANGE_VALIDATION_MAX]],19,FALSE)</f>
        <v>1</v>
      </c>
      <c r="G114" s="281">
        <f t="shared" ca="1" si="16"/>
        <v>1</v>
      </c>
      <c r="H114" s="215"/>
      <c r="I114" s="226" t="s">
        <v>3381</v>
      </c>
      <c r="J114" s="153"/>
      <c r="K114" s="215"/>
      <c r="L114" s="153"/>
      <c r="M114" s="215"/>
      <c r="N114" s="153"/>
      <c r="O114" s="215"/>
      <c r="P114" s="153"/>
      <c r="Q114" s="215"/>
      <c r="R114" s="153"/>
      <c r="S114" s="215"/>
      <c r="T114" s="153"/>
      <c r="U114" s="215"/>
      <c r="V114" s="153"/>
      <c r="W114" s="316"/>
      <c r="X114" s="165">
        <f ca="1">G130</f>
        <v>1</v>
      </c>
      <c r="Y114" s="215"/>
    </row>
    <row r="115" spans="1:25" ht="21.95" customHeight="1" x14ac:dyDescent="0.2">
      <c r="A115" s="290" t="s">
        <v>247</v>
      </c>
      <c r="B115" s="282" t="str">
        <f>"C"&amp;MATCH(LEFT(A115,LEN(A115)-LEN("_RANGE")),A:A,0)+1&amp;":C"&amp;(ROW()-1)</f>
        <v>C109:C114</v>
      </c>
      <c r="C115" s="281"/>
      <c r="D115" s="281"/>
      <c r="E115" s="281"/>
      <c r="F115" s="281"/>
      <c r="G115" s="281"/>
      <c r="H115" s="215"/>
      <c r="I115" s="372" t="s">
        <v>3600</v>
      </c>
      <c r="J115" s="153"/>
      <c r="K115" s="215"/>
      <c r="L115" s="153"/>
      <c r="M115" s="215"/>
      <c r="N115" s="153"/>
      <c r="O115" s="215"/>
      <c r="P115" s="153"/>
      <c r="Q115" s="215"/>
      <c r="R115" s="153"/>
      <c r="S115" s="215"/>
      <c r="T115" s="153"/>
      <c r="U115" s="215"/>
      <c r="V115" s="153"/>
      <c r="W115" s="364"/>
      <c r="X115" s="165" t="str">
        <f ca="1">G131</f>
        <v/>
      </c>
      <c r="Y115" s="215"/>
    </row>
    <row r="116" spans="1:25" ht="21.95" customHeight="1" x14ac:dyDescent="0.2">
      <c r="A116" s="290" t="s">
        <v>248</v>
      </c>
      <c r="B116" s="282">
        <f ca="1">COUNTIF(INDIRECT($B115),2)</f>
        <v>0</v>
      </c>
      <c r="C116" s="281"/>
      <c r="D116" s="281"/>
      <c r="E116" s="281"/>
      <c r="F116" s="281"/>
      <c r="G116" s="281"/>
      <c r="H116" s="215"/>
      <c r="I116" s="372" t="s">
        <v>3602</v>
      </c>
      <c r="J116" s="227"/>
      <c r="K116" s="227"/>
      <c r="L116" s="227"/>
      <c r="M116" s="227"/>
      <c r="N116" s="227"/>
      <c r="O116" s="227"/>
      <c r="P116" s="153"/>
      <c r="Q116" s="215"/>
      <c r="R116" s="153"/>
      <c r="S116" s="215"/>
      <c r="T116" s="153"/>
      <c r="U116" s="215"/>
      <c r="V116" s="153"/>
      <c r="W116" s="175" t="str">
        <f>SUBSTITUTE(SUBSTITUTE(SUBSTITUTE(IF(LEN(B132)&gt;F132,CONFIG_CHAR_LIMIT_TEMPLATE_ERR,CONFIG_CHAR_LIMIT_TEMPLATE),"[diff]",ABS(LEN(B132)-F132)),"[limit]",F132),"[used]",LEN(B132))</f>
        <v>1000 character(s) remaining</v>
      </c>
      <c r="X116" s="153"/>
      <c r="Y116" s="215"/>
    </row>
    <row r="117" spans="1:25" ht="21.95" customHeight="1" x14ac:dyDescent="0.2">
      <c r="A117" s="290" t="s">
        <v>249</v>
      </c>
      <c r="B117" s="282">
        <f ca="1">COUNTIF(INDIRECT($B115),0)+COUNTIF(INDIRECT($B115),1)+COUNTIF(INDIRECT($B115),2)</f>
        <v>4</v>
      </c>
      <c r="C117" s="281"/>
      <c r="D117" s="281"/>
      <c r="E117" s="281"/>
      <c r="F117" s="281"/>
      <c r="G117" s="281"/>
      <c r="H117" s="215"/>
      <c r="I117" s="500"/>
      <c r="J117" s="598"/>
      <c r="K117" s="598"/>
      <c r="L117" s="598"/>
      <c r="M117" s="598"/>
      <c r="N117" s="598"/>
      <c r="O117" s="598"/>
      <c r="P117" s="598"/>
      <c r="Q117" s="598"/>
      <c r="R117" s="598"/>
      <c r="S117" s="598"/>
      <c r="T117" s="598"/>
      <c r="U117" s="598"/>
      <c r="V117" s="598"/>
      <c r="W117" s="599"/>
      <c r="X117" s="165" t="str">
        <f ca="1">G132</f>
        <v/>
      </c>
      <c r="Y117" s="215"/>
    </row>
    <row r="118" spans="1:25" ht="21.95" customHeight="1" x14ac:dyDescent="0.2">
      <c r="A118" s="290" t="s">
        <v>250</v>
      </c>
      <c r="B118" s="282">
        <f ca="1">COUNTIF(INDIRECT($B115),0)</f>
        <v>0</v>
      </c>
      <c r="C118" s="281" t="s">
        <v>2607</v>
      </c>
      <c r="D118" s="281"/>
      <c r="E118" s="281"/>
      <c r="F118" s="281"/>
      <c r="G118" s="281"/>
      <c r="H118" s="215"/>
      <c r="I118" s="600"/>
      <c r="J118" s="601"/>
      <c r="K118" s="601"/>
      <c r="L118" s="601"/>
      <c r="M118" s="601"/>
      <c r="N118" s="601"/>
      <c r="O118" s="601"/>
      <c r="P118" s="601"/>
      <c r="Q118" s="601"/>
      <c r="R118" s="601"/>
      <c r="S118" s="601"/>
      <c r="T118" s="601"/>
      <c r="U118" s="601"/>
      <c r="V118" s="601"/>
      <c r="W118" s="602"/>
      <c r="X118" s="153"/>
      <c r="Y118" s="215"/>
    </row>
    <row r="119" spans="1:25" ht="21.95" customHeight="1" x14ac:dyDescent="0.2">
      <c r="A119" s="290" t="s">
        <v>251</v>
      </c>
      <c r="B119" s="291">
        <f ca="1">IFERROR(B116/B117,1.01)</f>
        <v>0</v>
      </c>
      <c r="C119" s="281"/>
      <c r="D119" s="281"/>
      <c r="E119" s="281"/>
      <c r="F119" s="281"/>
      <c r="G119" s="281"/>
      <c r="H119" s="215"/>
      <c r="I119" s="600"/>
      <c r="J119" s="601"/>
      <c r="K119" s="601"/>
      <c r="L119" s="601"/>
      <c r="M119" s="601"/>
      <c r="N119" s="601"/>
      <c r="O119" s="601"/>
      <c r="P119" s="601"/>
      <c r="Q119" s="601"/>
      <c r="R119" s="601"/>
      <c r="S119" s="601"/>
      <c r="T119" s="601"/>
      <c r="U119" s="601"/>
      <c r="V119" s="601"/>
      <c r="W119" s="602"/>
      <c r="X119" s="153"/>
      <c r="Y119" s="215"/>
    </row>
    <row r="120" spans="1:25" ht="21.95" customHeight="1" x14ac:dyDescent="0.2">
      <c r="A120" s="290" t="s">
        <v>252</v>
      </c>
      <c r="B120" s="292" t="str">
        <f ca="1">IF(B118&gt;0,"Data Error(s)",IF(B119=0,"Not Started",IF(B119&lt;1,ROUNDUP(B119*100,0)&amp;"% Done",IF(B119&gt;1,"Optional","Complete"))))</f>
        <v>Not Started</v>
      </c>
      <c r="C120" s="281"/>
      <c r="D120" s="281"/>
      <c r="E120" s="281"/>
      <c r="F120" s="281"/>
      <c r="G120" s="281"/>
      <c r="H120" s="215"/>
      <c r="I120" s="603"/>
      <c r="J120" s="604"/>
      <c r="K120" s="604"/>
      <c r="L120" s="604"/>
      <c r="M120" s="604"/>
      <c r="N120" s="604"/>
      <c r="O120" s="604"/>
      <c r="P120" s="604"/>
      <c r="Q120" s="604"/>
      <c r="R120" s="604"/>
      <c r="S120" s="604"/>
      <c r="T120" s="604"/>
      <c r="U120" s="604"/>
      <c r="V120" s="604"/>
      <c r="W120" s="605"/>
      <c r="X120" s="153"/>
      <c r="Y120" s="215"/>
    </row>
    <row r="121" spans="1:25" ht="21.95" customHeight="1" x14ac:dyDescent="0.2">
      <c r="A121" s="290" t="s">
        <v>253</v>
      </c>
      <c r="B121" s="282" t="str">
        <f ca="1">IF(B118&gt;0,0,IF(B119&lt;1,"",2))</f>
        <v/>
      </c>
      <c r="C121" s="281"/>
      <c r="D121" s="281"/>
      <c r="E121" s="281"/>
      <c r="F121" s="281"/>
      <c r="G121" s="281"/>
      <c r="H121" s="215"/>
      <c r="I121" s="194"/>
      <c r="J121" s="153"/>
      <c r="K121" s="194"/>
      <c r="L121" s="153"/>
      <c r="M121" s="194"/>
      <c r="N121" s="153"/>
      <c r="O121" s="194"/>
      <c r="P121" s="153"/>
      <c r="Q121" s="194"/>
      <c r="R121" s="153"/>
      <c r="S121" s="194"/>
      <c r="T121" s="153"/>
      <c r="U121" s="194"/>
      <c r="V121" s="153"/>
      <c r="W121" s="194"/>
      <c r="X121" s="153"/>
      <c r="Y121" s="194"/>
    </row>
    <row r="122" spans="1:25" ht="21.95" customHeight="1" x14ac:dyDescent="0.2">
      <c r="A122" s="290" t="s">
        <v>254</v>
      </c>
      <c r="B122" s="293" t="s">
        <v>2592</v>
      </c>
      <c r="C122" s="281"/>
      <c r="D122" s="281"/>
      <c r="E122" s="281"/>
      <c r="F122" s="281"/>
      <c r="G122" s="281"/>
      <c r="H122" s="215"/>
      <c r="I122" s="226" t="s">
        <v>3382</v>
      </c>
      <c r="J122" s="153"/>
      <c r="K122" s="194"/>
      <c r="L122" s="153"/>
      <c r="M122" s="194"/>
      <c r="N122" s="153"/>
      <c r="O122" s="194"/>
      <c r="P122" s="153"/>
      <c r="Q122" s="194"/>
      <c r="R122" s="153"/>
      <c r="S122" s="194"/>
      <c r="T122" s="153"/>
      <c r="U122" s="194"/>
      <c r="V122" s="153"/>
      <c r="W122" s="316"/>
      <c r="X122" s="165">
        <f ca="1">G134</f>
        <v>1</v>
      </c>
      <c r="Y122" s="194"/>
    </row>
    <row r="123" spans="1:25" ht="21.95" customHeight="1" x14ac:dyDescent="0.2">
      <c r="A123" s="294" t="s">
        <v>2360</v>
      </c>
      <c r="B123" s="282">
        <v>0</v>
      </c>
      <c r="C123" s="281" t="s">
        <v>2462</v>
      </c>
      <c r="D123" s="281"/>
      <c r="E123" s="281"/>
      <c r="F123" s="281"/>
      <c r="G123" s="281"/>
      <c r="H123" s="215"/>
      <c r="I123" s="226" t="s">
        <v>2594</v>
      </c>
      <c r="J123" s="153"/>
      <c r="K123" s="194"/>
      <c r="L123" s="153"/>
      <c r="M123" s="194"/>
      <c r="N123" s="153"/>
      <c r="O123" s="194"/>
      <c r="P123" s="153"/>
      <c r="Q123" s="194"/>
      <c r="R123" s="153"/>
      <c r="S123" s="194"/>
      <c r="T123" s="153"/>
      <c r="U123" s="194"/>
      <c r="V123" s="153"/>
      <c r="W123" s="316"/>
      <c r="X123" s="165">
        <f ca="1">G135</f>
        <v>1</v>
      </c>
      <c r="Y123" s="194"/>
    </row>
    <row r="124" spans="1:25" ht="21.95" customHeight="1" x14ac:dyDescent="0.2">
      <c r="A124" s="294" t="s">
        <v>2361</v>
      </c>
      <c r="B124" s="282" t="b">
        <f>(B123&gt;0)</f>
        <v>0</v>
      </c>
      <c r="C124" s="281"/>
      <c r="D124" s="281"/>
      <c r="E124" s="281"/>
      <c r="F124" s="281"/>
      <c r="G124" s="281"/>
      <c r="H124" s="215"/>
      <c r="I124" s="226" t="s">
        <v>2595</v>
      </c>
      <c r="J124" s="153"/>
      <c r="K124" s="194"/>
      <c r="L124" s="153"/>
      <c r="M124" s="194"/>
      <c r="N124" s="153"/>
      <c r="O124" s="194"/>
      <c r="P124" s="153"/>
      <c r="Q124" s="194"/>
      <c r="R124" s="153"/>
      <c r="S124" s="194"/>
      <c r="T124" s="153"/>
      <c r="U124" s="194"/>
      <c r="V124" s="153"/>
      <c r="W124" s="316"/>
      <c r="X124" s="165">
        <f ca="1">G136</f>
        <v>1</v>
      </c>
      <c r="Y124" s="194"/>
    </row>
    <row r="125" spans="1:25" ht="21.95" customHeight="1" x14ac:dyDescent="0.2">
      <c r="A125" s="285" t="s">
        <v>273</v>
      </c>
      <c r="B125" s="305" t="s">
        <v>2584</v>
      </c>
      <c r="C125" s="287"/>
      <c r="D125" s="287"/>
      <c r="E125" s="287"/>
      <c r="F125" s="287"/>
      <c r="G125" s="172" t="str">
        <f>B165</f>
        <v>Project Type and Characteristics</v>
      </c>
      <c r="H125" s="215"/>
      <c r="I125" s="224"/>
      <c r="J125" s="224"/>
      <c r="K125" s="224"/>
      <c r="L125" s="224"/>
      <c r="M125" s="224"/>
      <c r="N125" s="224"/>
      <c r="O125" s="224"/>
      <c r="P125" s="153"/>
      <c r="Q125" s="194"/>
      <c r="R125" s="153"/>
      <c r="S125" s="194"/>
      <c r="T125" s="153"/>
      <c r="U125" s="194"/>
      <c r="V125" s="153"/>
      <c r="W125" s="194"/>
      <c r="X125" s="153"/>
      <c r="Y125" s="194"/>
    </row>
    <row r="126" spans="1:25" ht="21.95" customHeight="1" thickBot="1" x14ac:dyDescent="0.25">
      <c r="A126" s="273" t="s">
        <v>2515</v>
      </c>
      <c r="B126" s="288" t="str">
        <f>IF(I162&lt;&gt;"",I162,"")</f>
        <v/>
      </c>
      <c r="C126" s="281">
        <f ca="1">VLOOKUP(A126,DB_TBL_DATA_FIELDS[[FIELD_ID]:[PCT_CALC_FIELD_STATUS_CODE]],22,FALSE)</f>
        <v>1</v>
      </c>
      <c r="D126" s="281" t="str">
        <f>IF(VLOOKUP(A126,DB_TBL_DATA_FIELDS[[FIELD_ID]:[ERROR_MESSAGE]],23,FALSE)&lt;&gt;0,VLOOKUP(A126,DB_TBL_DATA_FIELDS[[FIELD_ID]:[ERROR_MESSAGE]],23,FALSE),"")</f>
        <v/>
      </c>
      <c r="E126" s="281">
        <f>VLOOKUP(A126,DB_TBL_DATA_FIELDS[[#All],[FIELD_ID]:[RANGE_VALIDATION_MAX]],18,FALSE)</f>
        <v>0</v>
      </c>
      <c r="F126" s="281">
        <f>VLOOKUP(A126,DB_TBL_DATA_FIELDS[[#All],[FIELD_ID]:[RANGE_VALIDATION_MAX]],19,FALSE)</f>
        <v>3000</v>
      </c>
      <c r="G126" s="281">
        <f ca="1">IF(C126&lt;0,"",C126)</f>
        <v>1</v>
      </c>
      <c r="H126" s="215"/>
      <c r="I126" s="216" t="s">
        <v>3486</v>
      </c>
      <c r="J126" s="222"/>
      <c r="K126" s="222"/>
      <c r="L126" s="222"/>
      <c r="M126" s="222"/>
      <c r="N126" s="222"/>
      <c r="O126" s="222"/>
      <c r="P126" s="217"/>
      <c r="Q126" s="223"/>
      <c r="R126" s="217"/>
      <c r="S126" s="223"/>
      <c r="T126" s="217"/>
      <c r="U126" s="223"/>
      <c r="V126" s="217"/>
      <c r="W126" s="223"/>
      <c r="X126" s="153"/>
      <c r="Y126" s="194"/>
    </row>
    <row r="127" spans="1:25" ht="21.95" customHeight="1" thickTop="1" x14ac:dyDescent="0.2">
      <c r="A127" s="273" t="s">
        <v>2589</v>
      </c>
      <c r="B127" s="288" t="str">
        <f>IF(U112&lt;&gt;"",U112,"")</f>
        <v/>
      </c>
      <c r="C127" s="281">
        <f ca="1">VLOOKUP(A127,DB_TBL_DATA_FIELDS[[FIELD_ID]:[PCT_CALC_FIELD_STATUS_CODE]],22,FALSE)</f>
        <v>1</v>
      </c>
      <c r="D127" s="281" t="str">
        <f>IF(VLOOKUP(A127,DB_TBL_DATA_FIELDS[[FIELD_ID]:[ERROR_MESSAGE]],23,FALSE)&lt;&gt;0,VLOOKUP(A127,DB_TBL_DATA_FIELDS[[FIELD_ID]:[ERROR_MESSAGE]],23,FALSE),"")</f>
        <v/>
      </c>
      <c r="E127" s="281">
        <f>VLOOKUP(A127,DB_TBL_DATA_FIELDS[[#All],[FIELD_ID]:[RANGE_VALIDATION_MAX]],18,FALSE)</f>
        <v>0</v>
      </c>
      <c r="F127" s="281">
        <f>VLOOKUP(A127,DB_TBL_DATA_FIELDS[[#All],[FIELD_ID]:[RANGE_VALIDATION_MAX]],19,FALSE)</f>
        <v>25</v>
      </c>
      <c r="G127" s="281">
        <f ca="1">IF(C127&lt;0,"",C127)</f>
        <v>1</v>
      </c>
      <c r="H127" s="215"/>
      <c r="I127" s="208"/>
      <c r="J127" s="224"/>
      <c r="K127" s="224"/>
      <c r="L127" s="224"/>
      <c r="M127" s="224"/>
      <c r="N127" s="224"/>
      <c r="O127" s="224"/>
      <c r="P127" s="140"/>
      <c r="Q127" s="225"/>
      <c r="R127" s="140"/>
      <c r="S127" s="225"/>
      <c r="T127" s="140"/>
      <c r="U127" s="225"/>
      <c r="V127" s="140"/>
      <c r="W127" s="225"/>
      <c r="X127" s="153"/>
      <c r="Y127" s="194"/>
    </row>
    <row r="128" spans="1:25" ht="21.95" customHeight="1" x14ac:dyDescent="0.2">
      <c r="A128" s="273" t="s">
        <v>2516</v>
      </c>
      <c r="B128" s="296" t="str">
        <f ca="1">VLOOKUP(A128,'$DB.DATA'!D:H,5,FALSE)</f>
        <v/>
      </c>
      <c r="C128" s="281" t="str">
        <f ca="1">VLOOKUP(A128,DB_TBL_DATA_FIELDS[[FIELD_ID]:[PCT_CALC_FIELD_STATUS_CODE]],22,FALSE)</f>
        <v/>
      </c>
      <c r="D128" s="281" t="str">
        <f>IF(VLOOKUP(A128,DB_TBL_DATA_FIELDS[[FIELD_ID]:[ERROR_MESSAGE]],23,FALSE)&lt;&gt;0,VLOOKUP(A128,DB_TBL_DATA_FIELDS[[FIELD_ID]:[ERROR_MESSAGE]],23,FALSE),"")</f>
        <v/>
      </c>
      <c r="E128" s="281">
        <f>VLOOKUP(A128,DB_TBL_DATA_FIELDS[[#All],[FIELD_ID]:[RANGE_VALIDATION_MAX]],18,FALSE)</f>
        <v>0</v>
      </c>
      <c r="F128" s="281">
        <f>VLOOKUP(A128,DB_TBL_DATA_FIELDS[[#All],[FIELD_ID]:[RANGE_VALIDATION_MAX]],19,FALSE)</f>
        <v>1</v>
      </c>
      <c r="G128" s="281" t="str">
        <f t="shared" ref="G128:G157" ca="1" si="17">IF(C128&lt;0,"",C128)</f>
        <v/>
      </c>
      <c r="H128" s="215"/>
      <c r="I128" s="228" t="s">
        <v>3434</v>
      </c>
      <c r="J128" s="153"/>
      <c r="K128" s="215"/>
      <c r="L128" s="229"/>
      <c r="M128" s="229"/>
      <c r="N128" s="229"/>
      <c r="O128" s="215"/>
      <c r="P128" s="153"/>
      <c r="Q128" s="204"/>
      <c r="R128" s="204"/>
      <c r="S128" s="204"/>
      <c r="T128" s="204"/>
      <c r="U128" s="204"/>
      <c r="V128" s="204"/>
      <c r="W128" s="316"/>
      <c r="X128" s="165">
        <f ca="1">G142</f>
        <v>1</v>
      </c>
      <c r="Y128" s="194"/>
    </row>
    <row r="129" spans="1:25" ht="21.95" customHeight="1" x14ac:dyDescent="0.2">
      <c r="A129" s="273" t="s">
        <v>2517</v>
      </c>
      <c r="B129" s="288" t="str">
        <f>IF(W113="","",IF(UPPER(W113)="YES",TRUE,FALSE))</f>
        <v/>
      </c>
      <c r="C129" s="281" t="str">
        <f ca="1">VLOOKUP(A129,DB_TBL_DATA_FIELDS[[FIELD_ID]:[PCT_CALC_FIELD_STATUS_CODE]],22,FALSE)</f>
        <v/>
      </c>
      <c r="D129" s="281" t="str">
        <f>IF(VLOOKUP(A129,DB_TBL_DATA_FIELDS[[FIELD_ID]:[ERROR_MESSAGE]],23,FALSE)&lt;&gt;0,VLOOKUP(A129,DB_TBL_DATA_FIELDS[[FIELD_ID]:[ERROR_MESSAGE]],23,FALSE),"")</f>
        <v/>
      </c>
      <c r="E129" s="281">
        <f>VLOOKUP(A129,DB_TBL_DATA_FIELDS[[#All],[FIELD_ID]:[RANGE_VALIDATION_MAX]],18,FALSE)</f>
        <v>0</v>
      </c>
      <c r="F129" s="281">
        <f>VLOOKUP(A129,DB_TBL_DATA_FIELDS[[#All],[FIELD_ID]:[RANGE_VALIDATION_MAX]],19,FALSE)</f>
        <v>1</v>
      </c>
      <c r="G129" s="281" t="str">
        <f ca="1">IF(C129&lt;0,"",C129)</f>
        <v/>
      </c>
      <c r="H129" s="215"/>
      <c r="I129" s="221" t="s">
        <v>3487</v>
      </c>
      <c r="J129" s="228"/>
      <c r="K129" s="228"/>
      <c r="L129" s="229"/>
      <c r="M129" s="229"/>
      <c r="N129" s="229"/>
      <c r="O129" s="215"/>
      <c r="P129" s="153"/>
      <c r="Q129" s="204"/>
      <c r="R129" s="204"/>
      <c r="S129" s="204"/>
      <c r="T129" s="204"/>
      <c r="U129" s="204"/>
      <c r="V129" s="204"/>
      <c r="W129" s="230"/>
      <c r="X129" s="165" t="str">
        <f ca="1">G143</f>
        <v/>
      </c>
      <c r="Y129" s="194"/>
    </row>
    <row r="130" spans="1:25" ht="21.95" customHeight="1" x14ac:dyDescent="0.2">
      <c r="A130" s="273" t="s">
        <v>2518</v>
      </c>
      <c r="B130" s="288" t="str">
        <f>IF(W114="","",IF(UPPER(W114)="YES",TRUE,FALSE))</f>
        <v/>
      </c>
      <c r="C130" s="281">
        <f ca="1">VLOOKUP(A130,DB_TBL_DATA_FIELDS[[FIELD_ID]:[PCT_CALC_FIELD_STATUS_CODE]],22,FALSE)</f>
        <v>1</v>
      </c>
      <c r="D130" s="281" t="str">
        <f>IF(VLOOKUP(A130,DB_TBL_DATA_FIELDS[[FIELD_ID]:[ERROR_MESSAGE]],23,FALSE)&lt;&gt;0,VLOOKUP(A130,DB_TBL_DATA_FIELDS[[FIELD_ID]:[ERROR_MESSAGE]],23,FALSE),"")</f>
        <v/>
      </c>
      <c r="E130" s="281">
        <f>VLOOKUP(A130,DB_TBL_DATA_FIELDS[[#All],[FIELD_ID]:[RANGE_VALIDATION_MAX]],18,FALSE)</f>
        <v>0</v>
      </c>
      <c r="F130" s="281">
        <f>VLOOKUP(A130,DB_TBL_DATA_FIELDS[[#All],[FIELD_ID]:[RANGE_VALIDATION_MAX]],19,FALSE)</f>
        <v>1</v>
      </c>
      <c r="G130" s="281">
        <f ca="1">IF(C130&lt;0,"",C130)</f>
        <v>1</v>
      </c>
      <c r="H130" s="215"/>
      <c r="I130" s="224"/>
      <c r="J130" s="224"/>
      <c r="K130" s="224"/>
      <c r="L130" s="224"/>
      <c r="M130" s="224"/>
      <c r="N130" s="224"/>
      <c r="O130" s="224"/>
      <c r="P130" s="153"/>
      <c r="Q130" s="194"/>
      <c r="R130" s="153"/>
      <c r="S130" s="194"/>
      <c r="T130" s="153"/>
      <c r="U130" s="194"/>
      <c r="V130" s="153"/>
      <c r="W130" s="194"/>
      <c r="X130" s="153"/>
      <c r="Y130" s="194"/>
    </row>
    <row r="131" spans="1:25" ht="21.95" customHeight="1" thickBot="1" x14ac:dyDescent="0.25">
      <c r="A131" s="273" t="s">
        <v>3564</v>
      </c>
      <c r="B131" s="288" t="str">
        <f>IF(W115="","",IF(UPPER(W115)="YES",TRUE,FALSE))</f>
        <v/>
      </c>
      <c r="C131" s="281">
        <f ca="1">VLOOKUP(A131,DB_TBL_DATA_FIELDS[[FIELD_ID]:[PCT_CALC_FIELD_STATUS_CODE]],22,FALSE)</f>
        <v>-1</v>
      </c>
      <c r="D131" s="281" t="str">
        <f>IF(VLOOKUP(A131,DB_TBL_DATA_FIELDS[[FIELD_ID]:[ERROR_MESSAGE]],23,FALSE)&lt;&gt;0,VLOOKUP(A131,DB_TBL_DATA_FIELDS[[FIELD_ID]:[ERROR_MESSAGE]],23,FALSE),"")</f>
        <v/>
      </c>
      <c r="E131" s="281">
        <f>VLOOKUP(A131,DB_TBL_DATA_FIELDS[[#All],[FIELD_ID]:[RANGE_VALIDATION_MAX]],18,FALSE)</f>
        <v>0</v>
      </c>
      <c r="F131" s="281">
        <f>VLOOKUP(A131,DB_TBL_DATA_FIELDS[[#All],[FIELD_ID]:[RANGE_VALIDATION_MAX]],19,FALSE)</f>
        <v>1</v>
      </c>
      <c r="G131" s="281" t="str">
        <f ca="1">IF(C131&lt;0,"",C131)</f>
        <v/>
      </c>
      <c r="H131" s="215"/>
      <c r="I131" s="216" t="s">
        <v>3665</v>
      </c>
      <c r="J131" s="222"/>
      <c r="K131" s="222"/>
      <c r="L131" s="222"/>
      <c r="M131" s="222"/>
      <c r="N131" s="222"/>
      <c r="O131" s="222"/>
      <c r="P131" s="217"/>
      <c r="Q131" s="223"/>
      <c r="R131" s="217"/>
      <c r="S131" s="223"/>
      <c r="T131" s="217"/>
      <c r="U131" s="223"/>
      <c r="V131" s="217"/>
      <c r="W131" s="223"/>
      <c r="X131" s="153"/>
      <c r="Y131" s="194"/>
    </row>
    <row r="132" spans="1:25" ht="21.95" customHeight="1" thickTop="1" x14ac:dyDescent="0.2">
      <c r="A132" s="273" t="s">
        <v>2519</v>
      </c>
      <c r="B132" s="288" t="str">
        <f>IF(I117&lt;&gt;"",I117,"")</f>
        <v/>
      </c>
      <c r="C132" s="281">
        <f ca="1">VLOOKUP(A132,DB_TBL_DATA_FIELDS[[FIELD_ID]:[PCT_CALC_FIELD_STATUS_CODE]],22,FALSE)</f>
        <v>-1</v>
      </c>
      <c r="D132" s="281" t="str">
        <f>IF(VLOOKUP(A132,DB_TBL_DATA_FIELDS[[FIELD_ID]:[ERROR_MESSAGE]],23,FALSE)&lt;&gt;0,VLOOKUP(A132,DB_TBL_DATA_FIELDS[[FIELD_ID]:[ERROR_MESSAGE]],23,FALSE),"")</f>
        <v/>
      </c>
      <c r="E132" s="281">
        <f>VLOOKUP(A132,DB_TBL_DATA_FIELDS[[#All],[FIELD_ID]:[RANGE_VALIDATION_MAX]],18,FALSE)</f>
        <v>0</v>
      </c>
      <c r="F132" s="281">
        <f>VLOOKUP(A132,DB_TBL_DATA_FIELDS[[#All],[FIELD_ID]:[RANGE_VALIDATION_MAX]],19,FALSE)</f>
        <v>1000</v>
      </c>
      <c r="G132" s="281" t="str">
        <f ca="1">IF(C132&lt;0,"",C132)</f>
        <v/>
      </c>
      <c r="H132" s="215"/>
      <c r="I132" s="208"/>
      <c r="J132" s="224"/>
      <c r="K132" s="224"/>
      <c r="L132" s="224"/>
      <c r="M132" s="224"/>
      <c r="N132" s="224"/>
      <c r="O132" s="224"/>
      <c r="P132" s="140"/>
      <c r="Q132" s="225"/>
      <c r="R132" s="140"/>
      <c r="S132" s="225"/>
      <c r="T132" s="140"/>
      <c r="U132" s="225"/>
      <c r="V132" s="140"/>
      <c r="W132" s="225"/>
      <c r="X132" s="153"/>
      <c r="Y132" s="194"/>
    </row>
    <row r="133" spans="1:25" ht="21.95" customHeight="1" x14ac:dyDescent="0.2">
      <c r="A133" s="307" t="s">
        <v>2520</v>
      </c>
      <c r="B133" s="308"/>
      <c r="C133" s="309"/>
      <c r="D133" s="309"/>
      <c r="E133" s="309"/>
      <c r="F133" s="309"/>
      <c r="G133" s="309"/>
      <c r="H133" s="215"/>
      <c r="I133" s="563" t="s">
        <v>3666</v>
      </c>
      <c r="J133" s="563"/>
      <c r="K133" s="563"/>
      <c r="L133" s="563"/>
      <c r="M133" s="563"/>
      <c r="N133" s="563"/>
      <c r="O133" s="563"/>
      <c r="P133" s="563"/>
      <c r="Q133" s="563"/>
      <c r="R133" s="563"/>
      <c r="S133" s="563"/>
      <c r="T133" s="563"/>
      <c r="U133" s="563"/>
      <c r="V133" s="153"/>
      <c r="W133" s="380"/>
      <c r="X133" s="165">
        <f ca="1">G144</f>
        <v>1</v>
      </c>
      <c r="Y133" s="194"/>
    </row>
    <row r="134" spans="1:25" ht="21.95" customHeight="1" x14ac:dyDescent="0.2">
      <c r="A134" s="273" t="s">
        <v>2525</v>
      </c>
      <c r="B134" s="288" t="str">
        <f>IF(W122="","",IF(UPPER(W122)="YES",TRUE,FALSE))</f>
        <v/>
      </c>
      <c r="C134" s="281">
        <f ca="1">VLOOKUP(A134,DB_TBL_DATA_FIELDS[[FIELD_ID]:[PCT_CALC_FIELD_STATUS_CODE]],22,FALSE)</f>
        <v>1</v>
      </c>
      <c r="D134" s="281" t="str">
        <f>IF(VLOOKUP(A134,DB_TBL_DATA_FIELDS[[FIELD_ID]:[ERROR_MESSAGE]],23,FALSE)&lt;&gt;0,VLOOKUP(A134,DB_TBL_DATA_FIELDS[[FIELD_ID]:[ERROR_MESSAGE]],23,FALSE),"")</f>
        <v/>
      </c>
      <c r="E134" s="281">
        <f>VLOOKUP(A134,DB_TBL_DATA_FIELDS[[#All],[FIELD_ID]:[RANGE_VALIDATION_MAX]],18,FALSE)</f>
        <v>0</v>
      </c>
      <c r="F134" s="281">
        <f>VLOOKUP(A134,DB_TBL_DATA_FIELDS[[#All],[FIELD_ID]:[RANGE_VALIDATION_MAX]],19,FALSE)</f>
        <v>1</v>
      </c>
      <c r="G134" s="281">
        <f t="shared" ca="1" si="17"/>
        <v>1</v>
      </c>
      <c r="H134" s="215"/>
      <c r="I134" s="563"/>
      <c r="J134" s="563"/>
      <c r="K134" s="563"/>
      <c r="L134" s="563"/>
      <c r="M134" s="563"/>
      <c r="N134" s="563"/>
      <c r="O134" s="563"/>
      <c r="P134" s="563"/>
      <c r="Q134" s="563"/>
      <c r="R134" s="563"/>
      <c r="S134" s="563"/>
      <c r="T134" s="563"/>
      <c r="U134" s="563"/>
      <c r="V134" s="194"/>
      <c r="W134" s="194"/>
      <c r="X134" s="153"/>
      <c r="Y134" s="194"/>
    </row>
    <row r="135" spans="1:25" ht="21.95" customHeight="1" x14ac:dyDescent="0.2">
      <c r="A135" s="273" t="s">
        <v>2526</v>
      </c>
      <c r="B135" s="288" t="str">
        <f>IF(W123="","",IF(UPPER(W123)="YES",TRUE,FALSE))</f>
        <v/>
      </c>
      <c r="C135" s="281">
        <f ca="1">VLOOKUP(A135,DB_TBL_DATA_FIELDS[[FIELD_ID]:[PCT_CALC_FIELD_STATUS_CODE]],22,FALSE)</f>
        <v>1</v>
      </c>
      <c r="D135" s="281" t="str">
        <f>IF(VLOOKUP(A135,DB_TBL_DATA_FIELDS[[FIELD_ID]:[ERROR_MESSAGE]],23,FALSE)&lt;&gt;0,VLOOKUP(A135,DB_TBL_DATA_FIELDS[[FIELD_ID]:[ERROR_MESSAGE]],23,FALSE),"")</f>
        <v/>
      </c>
      <c r="E135" s="281">
        <f>VLOOKUP(A135,DB_TBL_DATA_FIELDS[[#All],[FIELD_ID]:[RANGE_VALIDATION_MAX]],18,FALSE)</f>
        <v>0</v>
      </c>
      <c r="F135" s="281">
        <f>VLOOKUP(A135,DB_TBL_DATA_FIELDS[[#All],[FIELD_ID]:[RANGE_VALIDATION_MAX]],19,FALSE)</f>
        <v>1</v>
      </c>
      <c r="G135" s="281">
        <f t="shared" ca="1" si="17"/>
        <v>1</v>
      </c>
      <c r="H135" s="215"/>
      <c r="I135" s="563" t="s">
        <v>3667</v>
      </c>
      <c r="J135" s="563"/>
      <c r="K135" s="563"/>
      <c r="L135" s="563"/>
      <c r="M135" s="563"/>
      <c r="N135" s="563"/>
      <c r="O135" s="563"/>
      <c r="P135" s="563"/>
      <c r="Q135" s="563"/>
      <c r="R135" s="563"/>
      <c r="S135" s="563"/>
      <c r="T135" s="563"/>
      <c r="U135" s="563"/>
      <c r="V135" s="153"/>
      <c r="W135" s="380"/>
      <c r="X135" s="165">
        <f ca="1">G145</f>
        <v>1</v>
      </c>
      <c r="Y135" s="194"/>
    </row>
    <row r="136" spans="1:25" ht="21.95" customHeight="1" x14ac:dyDescent="0.2">
      <c r="A136" s="273" t="s">
        <v>2527</v>
      </c>
      <c r="B136" s="288" t="str">
        <f>IF(W124="","",IF(UPPER(W124)="YES",TRUE,FALSE))</f>
        <v/>
      </c>
      <c r="C136" s="281">
        <f ca="1">VLOOKUP(A136,DB_TBL_DATA_FIELDS[[FIELD_ID]:[PCT_CALC_FIELD_STATUS_CODE]],22,FALSE)</f>
        <v>1</v>
      </c>
      <c r="D136" s="281" t="str">
        <f>IF(VLOOKUP(A136,DB_TBL_DATA_FIELDS[[FIELD_ID]:[ERROR_MESSAGE]],23,FALSE)&lt;&gt;0,VLOOKUP(A136,DB_TBL_DATA_FIELDS[[FIELD_ID]:[ERROR_MESSAGE]],23,FALSE),"")</f>
        <v/>
      </c>
      <c r="E136" s="281">
        <f>VLOOKUP(A136,DB_TBL_DATA_FIELDS[[#All],[FIELD_ID]:[RANGE_VALIDATION_MAX]],18,FALSE)</f>
        <v>0</v>
      </c>
      <c r="F136" s="281">
        <f>VLOOKUP(A136,DB_TBL_DATA_FIELDS[[#All],[FIELD_ID]:[RANGE_VALIDATION_MAX]],19,FALSE)</f>
        <v>1</v>
      </c>
      <c r="G136" s="281">
        <f t="shared" ca="1" si="17"/>
        <v>1</v>
      </c>
      <c r="H136" s="215"/>
      <c r="I136" s="563"/>
      <c r="J136" s="563"/>
      <c r="K136" s="563"/>
      <c r="L136" s="563"/>
      <c r="M136" s="563"/>
      <c r="N136" s="563"/>
      <c r="O136" s="563"/>
      <c r="P136" s="563"/>
      <c r="Q136" s="563"/>
      <c r="R136" s="563"/>
      <c r="S136" s="563"/>
      <c r="T136" s="563"/>
      <c r="U136" s="563"/>
      <c r="V136" s="194"/>
      <c r="W136" s="194"/>
      <c r="X136" s="153"/>
      <c r="Y136" s="194"/>
    </row>
    <row r="137" spans="1:25" ht="21.95" customHeight="1" x14ac:dyDescent="0.2">
      <c r="A137" s="307" t="s">
        <v>2528</v>
      </c>
      <c r="B137" s="308"/>
      <c r="C137" s="309"/>
      <c r="D137" s="309"/>
      <c r="E137" s="309"/>
      <c r="F137" s="309"/>
      <c r="G137" s="309"/>
      <c r="H137" s="215"/>
      <c r="I137" s="563" t="s">
        <v>3668</v>
      </c>
      <c r="J137" s="563"/>
      <c r="K137" s="563"/>
      <c r="L137" s="563"/>
      <c r="M137" s="563"/>
      <c r="N137" s="563"/>
      <c r="O137" s="563"/>
      <c r="P137" s="563"/>
      <c r="Q137" s="563"/>
      <c r="R137" s="563"/>
      <c r="S137" s="563"/>
      <c r="T137" s="563"/>
      <c r="U137" s="563"/>
      <c r="V137" s="153"/>
      <c r="W137" s="380"/>
      <c r="X137" s="165">
        <f ca="1">G146</f>
        <v>1</v>
      </c>
      <c r="Y137" s="194"/>
    </row>
    <row r="138" spans="1:25" ht="21.95" customHeight="1" x14ac:dyDescent="0.2">
      <c r="A138" s="307" t="s">
        <v>2529</v>
      </c>
      <c r="B138" s="308"/>
      <c r="C138" s="309"/>
      <c r="D138" s="309"/>
      <c r="E138" s="309"/>
      <c r="F138" s="309"/>
      <c r="G138" s="309"/>
      <c r="H138" s="215"/>
      <c r="I138" s="563"/>
      <c r="J138" s="563"/>
      <c r="K138" s="563"/>
      <c r="L138" s="563"/>
      <c r="M138" s="563"/>
      <c r="N138" s="563"/>
      <c r="O138" s="563"/>
      <c r="P138" s="563"/>
      <c r="Q138" s="563"/>
      <c r="R138" s="563"/>
      <c r="S138" s="563"/>
      <c r="T138" s="563"/>
      <c r="U138" s="563"/>
      <c r="V138" s="194"/>
      <c r="W138" s="194"/>
      <c r="X138" s="153"/>
      <c r="Y138" s="194"/>
    </row>
    <row r="139" spans="1:25" ht="21.95" customHeight="1" x14ac:dyDescent="0.2">
      <c r="A139" s="307" t="s">
        <v>2530</v>
      </c>
      <c r="B139" s="308"/>
      <c r="C139" s="309"/>
      <c r="D139" s="309"/>
      <c r="E139" s="309"/>
      <c r="F139" s="309"/>
      <c r="G139" s="309"/>
      <c r="H139" s="215"/>
      <c r="I139" s="231" t="s">
        <v>3669</v>
      </c>
      <c r="J139" s="231"/>
      <c r="K139" s="231"/>
      <c r="L139" s="231"/>
      <c r="M139" s="231"/>
      <c r="N139" s="231"/>
      <c r="O139" s="231"/>
      <c r="P139" s="231"/>
      <c r="Q139" s="231"/>
      <c r="R139" s="231"/>
      <c r="S139" s="231"/>
      <c r="T139" s="231"/>
      <c r="U139" s="231"/>
      <c r="V139" s="231"/>
      <c r="W139" s="380"/>
      <c r="X139" s="165">
        <f ca="1">G147</f>
        <v>1</v>
      </c>
      <c r="Y139" s="194"/>
    </row>
    <row r="140" spans="1:25" ht="21.95" customHeight="1" x14ac:dyDescent="0.2">
      <c r="A140" s="307" t="s">
        <v>2531</v>
      </c>
      <c r="B140" s="308"/>
      <c r="C140" s="309"/>
      <c r="D140" s="309"/>
      <c r="E140" s="309"/>
      <c r="F140" s="309"/>
      <c r="G140" s="309"/>
      <c r="H140" s="215"/>
      <c r="I140" s="231"/>
      <c r="J140" s="231"/>
      <c r="K140" s="231"/>
      <c r="L140" s="231"/>
      <c r="M140" s="231"/>
      <c r="N140" s="231"/>
      <c r="O140" s="231"/>
      <c r="P140" s="231"/>
      <c r="Q140" s="231"/>
      <c r="R140" s="231"/>
      <c r="S140" s="231"/>
      <c r="T140" s="231"/>
      <c r="U140" s="231"/>
      <c r="V140" s="231"/>
      <c r="W140" s="231"/>
      <c r="X140" s="153"/>
      <c r="Y140" s="194"/>
    </row>
    <row r="141" spans="1:25" ht="21.95" customHeight="1" x14ac:dyDescent="0.2">
      <c r="A141" s="307" t="s">
        <v>2532</v>
      </c>
      <c r="B141" s="308"/>
      <c r="C141" s="309"/>
      <c r="D141" s="309"/>
      <c r="E141" s="309"/>
      <c r="F141" s="309"/>
      <c r="G141" s="309"/>
      <c r="H141" s="215"/>
      <c r="I141" s="551" t="s">
        <v>3671</v>
      </c>
      <c r="J141" s="551"/>
      <c r="K141" s="551"/>
      <c r="L141" s="551"/>
      <c r="M141" s="551"/>
      <c r="N141" s="551"/>
      <c r="O141" s="551"/>
      <c r="P141" s="551"/>
      <c r="Q141" s="551"/>
      <c r="R141" s="551"/>
      <c r="S141" s="551"/>
      <c r="T141" s="551"/>
      <c r="U141" s="551"/>
      <c r="V141" s="551"/>
      <c r="W141" s="551"/>
      <c r="X141" s="153"/>
      <c r="Y141" s="194"/>
    </row>
    <row r="142" spans="1:25" ht="21.95" customHeight="1" x14ac:dyDescent="0.2">
      <c r="A142" s="273" t="s">
        <v>2533</v>
      </c>
      <c r="B142" s="288" t="str">
        <f>IF(W128="","",IF(UPPER(W128)="YES",TRUE,FALSE))</f>
        <v/>
      </c>
      <c r="C142" s="281">
        <f ca="1">VLOOKUP(A142,DB_TBL_DATA_FIELDS[[FIELD_ID]:[PCT_CALC_FIELD_STATUS_CODE]],22,FALSE)</f>
        <v>1</v>
      </c>
      <c r="D142" s="281" t="str">
        <f>IF(VLOOKUP(A142,DB_TBL_DATA_FIELDS[[FIELD_ID]:[ERROR_MESSAGE]],23,FALSE)&lt;&gt;0,VLOOKUP(A142,DB_TBL_DATA_FIELDS[[FIELD_ID]:[ERROR_MESSAGE]],23,FALSE),"")</f>
        <v/>
      </c>
      <c r="E142" s="281">
        <f>VLOOKUP(A142,DB_TBL_DATA_FIELDS[[#All],[FIELD_ID]:[RANGE_VALIDATION_MAX]],18,FALSE)</f>
        <v>0</v>
      </c>
      <c r="F142" s="281">
        <f>VLOOKUP(A142,DB_TBL_DATA_FIELDS[[#All],[FIELD_ID]:[RANGE_VALIDATION_MAX]],19,FALSE)</f>
        <v>1</v>
      </c>
      <c r="G142" s="281">
        <f t="shared" ca="1" si="17"/>
        <v>1</v>
      </c>
      <c r="H142" s="215"/>
      <c r="I142" s="632" t="s">
        <v>3670</v>
      </c>
      <c r="J142" s="632"/>
      <c r="K142" s="632"/>
      <c r="L142" s="632"/>
      <c r="M142" s="632"/>
      <c r="N142" s="632"/>
      <c r="O142" s="632"/>
      <c r="P142" s="632"/>
      <c r="Q142" s="632"/>
      <c r="R142" s="632"/>
      <c r="S142" s="632"/>
      <c r="T142" s="232"/>
      <c r="U142" s="232"/>
      <c r="V142" s="232"/>
      <c r="W142" s="175" t="str">
        <f>SUBSTITUTE(SUBSTITUTE(SUBSTITUTE(IF(LEN(B148)&gt;F148,CONFIG_CHAR_LIMIT_TEMPLATE_ERR,CONFIG_CHAR_LIMIT_TEMPLATE),"[diff]",ABS(LEN(B148)-F148)),"[limit]",F148),"[used]",LEN(B148))</f>
        <v>1000 character(s) remaining</v>
      </c>
      <c r="X142" s="153"/>
      <c r="Y142" s="194"/>
    </row>
    <row r="143" spans="1:25" ht="21.95" customHeight="1" x14ac:dyDescent="0.2">
      <c r="A143" s="273" t="s">
        <v>2534</v>
      </c>
      <c r="B143" s="288" t="str">
        <f>IF(W129&lt;&gt;"",W129,"")</f>
        <v/>
      </c>
      <c r="C143" s="281">
        <f ca="1">VLOOKUP(A143,DB_TBL_DATA_FIELDS[[FIELD_ID]:[PCT_CALC_FIELD_STATUS_CODE]],22,FALSE)</f>
        <v>-1</v>
      </c>
      <c r="D143" s="281" t="str">
        <f>IF(VLOOKUP(A143,DB_TBL_DATA_FIELDS[[FIELD_ID]:[ERROR_MESSAGE]],23,FALSE)&lt;&gt;0,VLOOKUP(A143,DB_TBL_DATA_FIELDS[[FIELD_ID]:[ERROR_MESSAGE]],23,FALSE),"")</f>
        <v/>
      </c>
      <c r="E143" s="281">
        <f>VLOOKUP(A143,DB_TBL_DATA_FIELDS[[#All],[FIELD_ID]:[RANGE_VALIDATION_MAX]],18,FALSE)</f>
        <v>1</v>
      </c>
      <c r="F143" s="281">
        <f>VLOOKUP(A143,DB_TBL_DATA_FIELDS[[#All],[FIELD_ID]:[RANGE_VALIDATION_MAX]],19,FALSE)</f>
        <v>999999999999</v>
      </c>
      <c r="G143" s="281" t="str">
        <f t="shared" ca="1" si="17"/>
        <v/>
      </c>
      <c r="H143" s="215"/>
      <c r="I143" s="500"/>
      <c r="J143" s="598"/>
      <c r="K143" s="598"/>
      <c r="L143" s="598"/>
      <c r="M143" s="598"/>
      <c r="N143" s="598"/>
      <c r="O143" s="598"/>
      <c r="P143" s="598"/>
      <c r="Q143" s="598"/>
      <c r="R143" s="598"/>
      <c r="S143" s="598"/>
      <c r="T143" s="598"/>
      <c r="U143" s="598"/>
      <c r="V143" s="598"/>
      <c r="W143" s="599"/>
      <c r="X143" s="165" t="str">
        <f ca="1">G148</f>
        <v/>
      </c>
      <c r="Y143" s="194"/>
    </row>
    <row r="144" spans="1:25" ht="21.95" customHeight="1" x14ac:dyDescent="0.2">
      <c r="A144" s="273" t="s">
        <v>3654</v>
      </c>
      <c r="B144" s="288" t="str">
        <f>IF(W133="","",IF(UPPER(W133)="YES",TRUE,FALSE))</f>
        <v/>
      </c>
      <c r="C144" s="281">
        <f ca="1">VLOOKUP(A144,DB_TBL_DATA_FIELDS[[FIELD_ID]:[PCT_CALC_FIELD_STATUS_CODE]],22,FALSE)</f>
        <v>1</v>
      </c>
      <c r="D144" s="281" t="str">
        <f>IF(VLOOKUP(A144,DB_TBL_DATA_FIELDS[[FIELD_ID]:[ERROR_MESSAGE]],23,FALSE)&lt;&gt;0,VLOOKUP(A144,DB_TBL_DATA_FIELDS[[FIELD_ID]:[ERROR_MESSAGE]],23,FALSE),"")</f>
        <v/>
      </c>
      <c r="E144" s="281">
        <f>VLOOKUP(A144,DB_TBL_DATA_FIELDS[[#All],[FIELD_ID]:[RANGE_VALIDATION_MAX]],18,FALSE)</f>
        <v>0</v>
      </c>
      <c r="F144" s="281">
        <f>VLOOKUP(A144,DB_TBL_DATA_FIELDS[[#All],[FIELD_ID]:[RANGE_VALIDATION_MAX]],19,FALSE)</f>
        <v>1</v>
      </c>
      <c r="G144" s="281">
        <f t="shared" ref="G144:G148" ca="1" si="18">IF(C144&lt;0,"",C144)</f>
        <v>1</v>
      </c>
      <c r="H144" s="215"/>
      <c r="I144" s="600"/>
      <c r="J144" s="601"/>
      <c r="K144" s="601"/>
      <c r="L144" s="601"/>
      <c r="M144" s="601"/>
      <c r="N144" s="601"/>
      <c r="O144" s="601"/>
      <c r="P144" s="601"/>
      <c r="Q144" s="601"/>
      <c r="R144" s="601"/>
      <c r="S144" s="601"/>
      <c r="T144" s="601"/>
      <c r="U144" s="601"/>
      <c r="V144" s="601"/>
      <c r="W144" s="602"/>
      <c r="X144" s="153"/>
      <c r="Y144" s="194"/>
    </row>
    <row r="145" spans="1:25" ht="21.95" customHeight="1" x14ac:dyDescent="0.2">
      <c r="A145" s="273" t="s">
        <v>3655</v>
      </c>
      <c r="B145" s="288" t="str">
        <f>IF(W135="","",IF(UPPER(W135)="YES",TRUE,FALSE))</f>
        <v/>
      </c>
      <c r="C145" s="281">
        <f ca="1">VLOOKUP(A145,DB_TBL_DATA_FIELDS[[FIELD_ID]:[PCT_CALC_FIELD_STATUS_CODE]],22,FALSE)</f>
        <v>1</v>
      </c>
      <c r="D145" s="281" t="str">
        <f>IF(VLOOKUP(A145,DB_TBL_DATA_FIELDS[[FIELD_ID]:[ERROR_MESSAGE]],23,FALSE)&lt;&gt;0,VLOOKUP(A145,DB_TBL_DATA_FIELDS[[FIELD_ID]:[ERROR_MESSAGE]],23,FALSE),"")</f>
        <v/>
      </c>
      <c r="E145" s="281">
        <f>VLOOKUP(A145,DB_TBL_DATA_FIELDS[[#All],[FIELD_ID]:[RANGE_VALIDATION_MAX]],18,FALSE)</f>
        <v>0</v>
      </c>
      <c r="F145" s="281">
        <f>VLOOKUP(A145,DB_TBL_DATA_FIELDS[[#All],[FIELD_ID]:[RANGE_VALIDATION_MAX]],19,FALSE)</f>
        <v>1</v>
      </c>
      <c r="G145" s="281">
        <f t="shared" ca="1" si="18"/>
        <v>1</v>
      </c>
      <c r="H145" s="215"/>
      <c r="I145" s="600"/>
      <c r="J145" s="601"/>
      <c r="K145" s="601"/>
      <c r="L145" s="601"/>
      <c r="M145" s="601"/>
      <c r="N145" s="601"/>
      <c r="O145" s="601"/>
      <c r="P145" s="601"/>
      <c r="Q145" s="601"/>
      <c r="R145" s="601"/>
      <c r="S145" s="601"/>
      <c r="T145" s="601"/>
      <c r="U145" s="601"/>
      <c r="V145" s="601"/>
      <c r="W145" s="602"/>
      <c r="X145" s="153"/>
      <c r="Y145" s="194"/>
    </row>
    <row r="146" spans="1:25" ht="21.95" customHeight="1" x14ac:dyDescent="0.2">
      <c r="A146" s="273" t="s">
        <v>3656</v>
      </c>
      <c r="B146" s="288" t="str">
        <f>IF(W137="","",IF(UPPER(W137)="YES",TRUE,FALSE))</f>
        <v/>
      </c>
      <c r="C146" s="281">
        <f ca="1">VLOOKUP(A146,DB_TBL_DATA_FIELDS[[FIELD_ID]:[PCT_CALC_FIELD_STATUS_CODE]],22,FALSE)</f>
        <v>1</v>
      </c>
      <c r="D146" s="281" t="str">
        <f>IF(VLOOKUP(A146,DB_TBL_DATA_FIELDS[[FIELD_ID]:[ERROR_MESSAGE]],23,FALSE)&lt;&gt;0,VLOOKUP(A146,DB_TBL_DATA_FIELDS[[FIELD_ID]:[ERROR_MESSAGE]],23,FALSE),"")</f>
        <v/>
      </c>
      <c r="E146" s="281">
        <f>VLOOKUP(A146,DB_TBL_DATA_FIELDS[[#All],[FIELD_ID]:[RANGE_VALIDATION_MAX]],18,FALSE)</f>
        <v>0</v>
      </c>
      <c r="F146" s="281">
        <f>VLOOKUP(A146,DB_TBL_DATA_FIELDS[[#All],[FIELD_ID]:[RANGE_VALIDATION_MAX]],19,FALSE)</f>
        <v>1</v>
      </c>
      <c r="G146" s="281">
        <f t="shared" ca="1" si="18"/>
        <v>1</v>
      </c>
      <c r="H146" s="215"/>
      <c r="I146" s="603"/>
      <c r="J146" s="604"/>
      <c r="K146" s="604"/>
      <c r="L146" s="604"/>
      <c r="M146" s="604"/>
      <c r="N146" s="604"/>
      <c r="O146" s="604"/>
      <c r="P146" s="604"/>
      <c r="Q146" s="604"/>
      <c r="R146" s="604"/>
      <c r="S146" s="604"/>
      <c r="T146" s="604"/>
      <c r="U146" s="604"/>
      <c r="V146" s="604"/>
      <c r="W146" s="605"/>
      <c r="X146" s="153"/>
      <c r="Y146" s="194"/>
    </row>
    <row r="147" spans="1:25" ht="21.95" customHeight="1" x14ac:dyDescent="0.2">
      <c r="A147" s="273" t="s">
        <v>3657</v>
      </c>
      <c r="B147" s="288" t="str">
        <f>IF(W139="","",IF(UPPER(W139)="YES",TRUE,FALSE))</f>
        <v/>
      </c>
      <c r="C147" s="281">
        <f ca="1">VLOOKUP(A147,DB_TBL_DATA_FIELDS[[FIELD_ID]:[PCT_CALC_FIELD_STATUS_CODE]],22,FALSE)</f>
        <v>1</v>
      </c>
      <c r="D147" s="281" t="str">
        <f>IF(VLOOKUP(A147,DB_TBL_DATA_FIELDS[[FIELD_ID]:[ERROR_MESSAGE]],23,FALSE)&lt;&gt;0,VLOOKUP(A147,DB_TBL_DATA_FIELDS[[FIELD_ID]:[ERROR_MESSAGE]],23,FALSE),"")</f>
        <v/>
      </c>
      <c r="E147" s="281">
        <f>VLOOKUP(A147,DB_TBL_DATA_FIELDS[[#All],[FIELD_ID]:[RANGE_VALIDATION_MAX]],18,FALSE)</f>
        <v>0</v>
      </c>
      <c r="F147" s="281">
        <f>VLOOKUP(A147,DB_TBL_DATA_FIELDS[[#All],[FIELD_ID]:[RANGE_VALIDATION_MAX]],19,FALSE)</f>
        <v>1</v>
      </c>
      <c r="G147" s="281">
        <f t="shared" ca="1" si="18"/>
        <v>1</v>
      </c>
      <c r="H147" s="215"/>
      <c r="I147" s="224"/>
      <c r="J147" s="224"/>
      <c r="K147" s="224"/>
      <c r="L147" s="224"/>
      <c r="M147" s="224"/>
      <c r="N147" s="224"/>
      <c r="O147" s="224"/>
      <c r="P147" s="153"/>
      <c r="Q147" s="194"/>
      <c r="R147" s="153"/>
      <c r="S147" s="194"/>
      <c r="T147" s="153"/>
      <c r="U147" s="194"/>
      <c r="V147" s="153"/>
      <c r="W147" s="194"/>
      <c r="X147" s="153"/>
      <c r="Y147" s="194"/>
    </row>
    <row r="148" spans="1:25" ht="21.95" customHeight="1" thickBot="1" x14ac:dyDescent="0.25">
      <c r="A148" s="273" t="s">
        <v>3658</v>
      </c>
      <c r="B148" s="288" t="str">
        <f>IF(I143&lt;&gt;"",I143,"")</f>
        <v/>
      </c>
      <c r="C148" s="281">
        <f ca="1">VLOOKUP(A148,DB_TBL_DATA_FIELDS[[FIELD_ID]:[PCT_CALC_FIELD_STATUS_CODE]],22,FALSE)</f>
        <v>-1</v>
      </c>
      <c r="D148" s="281" t="str">
        <f>IF(VLOOKUP(A148,DB_TBL_DATA_FIELDS[[FIELD_ID]:[ERROR_MESSAGE]],23,FALSE)&lt;&gt;0,VLOOKUP(A148,DB_TBL_DATA_FIELDS[[FIELD_ID]:[ERROR_MESSAGE]],23,FALSE),"")</f>
        <v/>
      </c>
      <c r="E148" s="281">
        <f>VLOOKUP(A148,DB_TBL_DATA_FIELDS[[#All],[FIELD_ID]:[RANGE_VALIDATION_MAX]],18,FALSE)</f>
        <v>0</v>
      </c>
      <c r="F148" s="281">
        <f>VLOOKUP(A148,DB_TBL_DATA_FIELDS[[#All],[FIELD_ID]:[RANGE_VALIDATION_MAX]],19,FALSE)</f>
        <v>1000</v>
      </c>
      <c r="G148" s="281" t="str">
        <f t="shared" ca="1" si="18"/>
        <v/>
      </c>
      <c r="H148" s="215"/>
      <c r="I148" s="216" t="s">
        <v>2600</v>
      </c>
      <c r="J148" s="222"/>
      <c r="K148" s="222"/>
      <c r="L148" s="222"/>
      <c r="M148" s="222"/>
      <c r="N148" s="222"/>
      <c r="O148" s="222"/>
      <c r="P148" s="217"/>
      <c r="Q148" s="223"/>
      <c r="R148" s="217"/>
      <c r="S148" s="223"/>
      <c r="T148" s="217"/>
      <c r="U148" s="223"/>
      <c r="V148" s="217"/>
      <c r="W148" s="223"/>
      <c r="X148" s="153"/>
      <c r="Y148" s="194"/>
    </row>
    <row r="149" spans="1:25" ht="21.95" customHeight="1" thickTop="1" x14ac:dyDescent="0.2">
      <c r="A149" s="273" t="s">
        <v>2535</v>
      </c>
      <c r="B149" s="288" t="str">
        <f>IF(W150="","",IF(UPPER(W150)="YES",TRUE,FALSE))</f>
        <v/>
      </c>
      <c r="C149" s="281">
        <f ca="1">VLOOKUP(A149,DB_TBL_DATA_FIELDS[[FIELD_ID]:[PCT_CALC_FIELD_STATUS_CODE]],22,FALSE)</f>
        <v>1</v>
      </c>
      <c r="D149" s="281" t="str">
        <f>IF(VLOOKUP(A149,DB_TBL_DATA_FIELDS[[FIELD_ID]:[ERROR_MESSAGE]],23,FALSE)&lt;&gt;0,VLOOKUP(A149,DB_TBL_DATA_FIELDS[[FIELD_ID]:[ERROR_MESSAGE]],23,FALSE),"")</f>
        <v/>
      </c>
      <c r="E149" s="281">
        <f>VLOOKUP(A149,DB_TBL_DATA_FIELDS[[#All],[FIELD_ID]:[RANGE_VALIDATION_MAX]],18,FALSE)</f>
        <v>0</v>
      </c>
      <c r="F149" s="281">
        <f>VLOOKUP(A149,DB_TBL_DATA_FIELDS[[#All],[FIELD_ID]:[RANGE_VALIDATION_MAX]],19,FALSE)</f>
        <v>1</v>
      </c>
      <c r="G149" s="281">
        <f t="shared" ca="1" si="17"/>
        <v>1</v>
      </c>
      <c r="H149" s="215"/>
      <c r="I149" s="208"/>
      <c r="J149" s="224"/>
      <c r="K149" s="224"/>
      <c r="L149" s="224"/>
      <c r="M149" s="224"/>
      <c r="N149" s="224"/>
      <c r="O149" s="224"/>
      <c r="P149" s="140"/>
      <c r="Q149" s="225"/>
      <c r="R149" s="140"/>
      <c r="S149" s="225"/>
      <c r="T149" s="140"/>
      <c r="U149" s="225"/>
      <c r="V149" s="140"/>
      <c r="W149" s="225"/>
      <c r="X149" s="153"/>
      <c r="Y149" s="194"/>
    </row>
    <row r="150" spans="1:25" ht="21.95" customHeight="1" x14ac:dyDescent="0.2">
      <c r="A150" s="273" t="s">
        <v>2536</v>
      </c>
      <c r="B150" s="288" t="str">
        <f>IF(W151="","",IF(UPPER(W151)="YES",TRUE,FALSE))</f>
        <v/>
      </c>
      <c r="C150" s="281">
        <f ca="1">VLOOKUP(A150,DB_TBL_DATA_FIELDS[[FIELD_ID]:[PCT_CALC_FIELD_STATUS_CODE]],22,FALSE)</f>
        <v>1</v>
      </c>
      <c r="D150" s="281" t="str">
        <f>IF(VLOOKUP(A150,DB_TBL_DATA_FIELDS[[FIELD_ID]:[ERROR_MESSAGE]],23,FALSE)&lt;&gt;0,VLOOKUP(A150,DB_TBL_DATA_FIELDS[[FIELD_ID]:[ERROR_MESSAGE]],23,FALSE),"")</f>
        <v/>
      </c>
      <c r="E150" s="281">
        <f>VLOOKUP(A150,DB_TBL_DATA_FIELDS[[#All],[FIELD_ID]:[RANGE_VALIDATION_MAX]],18,FALSE)</f>
        <v>0</v>
      </c>
      <c r="F150" s="281">
        <f>VLOOKUP(A150,DB_TBL_DATA_FIELDS[[#All],[FIELD_ID]:[RANGE_VALIDATION_MAX]],19,FALSE)</f>
        <v>1</v>
      </c>
      <c r="G150" s="281">
        <f t="shared" ca="1" si="17"/>
        <v>1</v>
      </c>
      <c r="H150" s="215"/>
      <c r="I150" s="226" t="s">
        <v>2601</v>
      </c>
      <c r="J150" s="153"/>
      <c r="K150" s="194"/>
      <c r="L150" s="153"/>
      <c r="M150" s="194"/>
      <c r="N150" s="153"/>
      <c r="O150" s="194"/>
      <c r="P150" s="153"/>
      <c r="Q150" s="194"/>
      <c r="R150" s="153"/>
      <c r="S150" s="194"/>
      <c r="T150" s="153"/>
      <c r="U150" s="194"/>
      <c r="V150" s="153"/>
      <c r="W150" s="316"/>
      <c r="X150" s="165">
        <f ca="1">G149</f>
        <v>1</v>
      </c>
      <c r="Y150" s="194"/>
    </row>
    <row r="151" spans="1:25" ht="21.95" customHeight="1" x14ac:dyDescent="0.2">
      <c r="A151" s="273" t="s">
        <v>3511</v>
      </c>
      <c r="B151" s="288" t="str">
        <f>IF(W152="","",IF(UPPER(W152)="YES",TRUE,FALSE))</f>
        <v/>
      </c>
      <c r="C151" s="281" t="str">
        <f ca="1">VLOOKUP(A151,DB_TBL_DATA_FIELDS[[FIELD_ID]:[PCT_CALC_FIELD_STATUS_CODE]],22,FALSE)</f>
        <v/>
      </c>
      <c r="D151" s="281" t="str">
        <f>IF(VLOOKUP(A151,DB_TBL_DATA_FIELDS[[FIELD_ID]:[ERROR_MESSAGE]],23,FALSE)&lt;&gt;0,VLOOKUP(A151,DB_TBL_DATA_FIELDS[[FIELD_ID]:[ERROR_MESSAGE]],23,FALSE),"")</f>
        <v/>
      </c>
      <c r="E151" s="281">
        <f>VLOOKUP(A151,DB_TBL_DATA_FIELDS[[#All],[FIELD_ID]:[RANGE_VALIDATION_MAX]],18,FALSE)</f>
        <v>0</v>
      </c>
      <c r="F151" s="281">
        <f>VLOOKUP(A151,DB_TBL_DATA_FIELDS[[#All],[FIELD_ID]:[RANGE_VALIDATION_MAX]],19,FALSE)</f>
        <v>1</v>
      </c>
      <c r="G151" s="281" t="str">
        <f t="shared" ref="G151:G152" ca="1" si="19">IF(C151&lt;0,"",C151)</f>
        <v/>
      </c>
      <c r="H151" s="215"/>
      <c r="I151" s="226" t="s">
        <v>3673</v>
      </c>
      <c r="J151" s="153"/>
      <c r="K151" s="194"/>
      <c r="L151" s="153"/>
      <c r="M151" s="194"/>
      <c r="N151" s="153"/>
      <c r="O151" s="194"/>
      <c r="P151" s="153"/>
      <c r="Q151" s="194"/>
      <c r="R151" s="153"/>
      <c r="S151" s="194"/>
      <c r="T151" s="153"/>
      <c r="U151" s="194"/>
      <c r="V151" s="153"/>
      <c r="W151" s="316"/>
      <c r="X151" s="165">
        <f ca="1">G150</f>
        <v>1</v>
      </c>
      <c r="Y151" s="194"/>
    </row>
    <row r="152" spans="1:25" ht="21.95" customHeight="1" x14ac:dyDescent="0.2">
      <c r="A152" s="273" t="s">
        <v>3512</v>
      </c>
      <c r="B152" s="288" t="str">
        <f>IF(I154&lt;&gt;"",I154,"")</f>
        <v/>
      </c>
      <c r="C152" s="281" t="str">
        <f ca="1">VLOOKUP(A152,DB_TBL_DATA_FIELDS[[FIELD_ID]:[PCT_CALC_FIELD_STATUS_CODE]],22,FALSE)</f>
        <v/>
      </c>
      <c r="D152" s="281" t="str">
        <f>IF(VLOOKUP(A152,DB_TBL_DATA_FIELDS[[FIELD_ID]:[ERROR_MESSAGE]],23,FALSE)&lt;&gt;0,VLOOKUP(A152,DB_TBL_DATA_FIELDS[[FIELD_ID]:[ERROR_MESSAGE]],23,FALSE),"")</f>
        <v/>
      </c>
      <c r="E152" s="281">
        <f>VLOOKUP(A152,DB_TBL_DATA_FIELDS[[#All],[FIELD_ID]:[RANGE_VALIDATION_MAX]],18,FALSE)</f>
        <v>0</v>
      </c>
      <c r="F152" s="281">
        <f>VLOOKUP(A152,DB_TBL_DATA_FIELDS[[#All],[FIELD_ID]:[RANGE_VALIDATION_MAX]],19,FALSE)</f>
        <v>1000</v>
      </c>
      <c r="G152" s="281" t="str">
        <f t="shared" ca="1" si="19"/>
        <v/>
      </c>
      <c r="H152" s="215"/>
      <c r="I152" s="231" t="s">
        <v>3515</v>
      </c>
      <c r="J152" s="231"/>
      <c r="K152" s="231"/>
      <c r="L152" s="231"/>
      <c r="M152" s="231"/>
      <c r="N152" s="231"/>
      <c r="O152" s="231"/>
      <c r="P152" s="231"/>
      <c r="Q152" s="231"/>
      <c r="R152" s="231"/>
      <c r="S152" s="231"/>
      <c r="T152" s="231"/>
      <c r="U152" s="231"/>
      <c r="V152" s="231"/>
      <c r="W152" s="339"/>
      <c r="X152" s="165" t="str">
        <f ca="1">G151</f>
        <v/>
      </c>
      <c r="Y152" s="194"/>
    </row>
    <row r="153" spans="1:25" ht="21.95" customHeight="1" x14ac:dyDescent="0.2">
      <c r="A153" s="307" t="s">
        <v>2537</v>
      </c>
      <c r="B153" s="308"/>
      <c r="C153" s="309"/>
      <c r="D153" s="309"/>
      <c r="E153" s="309"/>
      <c r="F153" s="309"/>
      <c r="G153" s="309"/>
      <c r="H153" s="215"/>
      <c r="I153" s="221" t="s">
        <v>3516</v>
      </c>
      <c r="J153" s="232"/>
      <c r="K153" s="232"/>
      <c r="L153" s="232"/>
      <c r="M153" s="232"/>
      <c r="N153" s="232"/>
      <c r="O153" s="232"/>
      <c r="P153" s="232"/>
      <c r="Q153" s="232"/>
      <c r="R153" s="232"/>
      <c r="S153" s="232"/>
      <c r="T153" s="232"/>
      <c r="U153" s="232"/>
      <c r="V153" s="232"/>
      <c r="W153" s="175" t="str">
        <f>SUBSTITUTE(SUBSTITUTE(SUBSTITUTE(IF(LEN(B152)&gt;F152,CONFIG_CHAR_LIMIT_TEMPLATE_ERR,CONFIG_CHAR_LIMIT_TEMPLATE),"[diff]",ABS(LEN(B152)-F152)),"[limit]",F152),"[used]",LEN(B152))</f>
        <v>1000 character(s) remaining</v>
      </c>
      <c r="X153" s="153"/>
      <c r="Y153" s="194"/>
    </row>
    <row r="154" spans="1:25" ht="21.95" customHeight="1" x14ac:dyDescent="0.2">
      <c r="A154" s="307" t="s">
        <v>2602</v>
      </c>
      <c r="B154" s="308"/>
      <c r="C154" s="309"/>
      <c r="D154" s="309"/>
      <c r="E154" s="309"/>
      <c r="F154" s="309"/>
      <c r="G154" s="309"/>
      <c r="H154" s="215"/>
      <c r="I154" s="500"/>
      <c r="J154" s="598"/>
      <c r="K154" s="598"/>
      <c r="L154" s="598"/>
      <c r="M154" s="598"/>
      <c r="N154" s="598"/>
      <c r="O154" s="598"/>
      <c r="P154" s="598"/>
      <c r="Q154" s="598"/>
      <c r="R154" s="598"/>
      <c r="S154" s="598"/>
      <c r="T154" s="598"/>
      <c r="U154" s="598"/>
      <c r="V154" s="598"/>
      <c r="W154" s="599"/>
      <c r="X154" s="165" t="str">
        <f ca="1">G152</f>
        <v/>
      </c>
      <c r="Y154" s="194"/>
    </row>
    <row r="155" spans="1:25" ht="21.95" customHeight="1" x14ac:dyDescent="0.2">
      <c r="A155" s="307" t="s">
        <v>2538</v>
      </c>
      <c r="B155" s="308"/>
      <c r="C155" s="309"/>
      <c r="D155" s="309"/>
      <c r="E155" s="309"/>
      <c r="F155" s="309"/>
      <c r="G155" s="309"/>
      <c r="H155" s="215"/>
      <c r="I155" s="600"/>
      <c r="J155" s="601"/>
      <c r="K155" s="601"/>
      <c r="L155" s="601"/>
      <c r="M155" s="601"/>
      <c r="N155" s="601"/>
      <c r="O155" s="601"/>
      <c r="P155" s="601"/>
      <c r="Q155" s="601"/>
      <c r="R155" s="601"/>
      <c r="S155" s="601"/>
      <c r="T155" s="601"/>
      <c r="U155" s="601"/>
      <c r="V155" s="601"/>
      <c r="W155" s="602"/>
      <c r="X155" s="153"/>
      <c r="Y155" s="194"/>
    </row>
    <row r="156" spans="1:25" ht="21.95" customHeight="1" x14ac:dyDescent="0.2">
      <c r="A156" s="273" t="s">
        <v>2539</v>
      </c>
      <c r="B156" s="288" t="str">
        <f>IF(I179&lt;&gt;"",I179,"")</f>
        <v/>
      </c>
      <c r="C156" s="281">
        <f ca="1">VLOOKUP(A156,DB_TBL_DATA_FIELDS[[FIELD_ID]:[PCT_CALC_FIELD_STATUS_CODE]],22,FALSE)</f>
        <v>1</v>
      </c>
      <c r="D156" s="281" t="str">
        <f>IF(VLOOKUP(A156,DB_TBL_DATA_FIELDS[[FIELD_ID]:[ERROR_MESSAGE]],23,FALSE)&lt;&gt;0,VLOOKUP(A156,DB_TBL_DATA_FIELDS[[FIELD_ID]:[ERROR_MESSAGE]],23,FALSE),"")</f>
        <v/>
      </c>
      <c r="E156" s="281">
        <f>VLOOKUP(A156,DB_TBL_DATA_FIELDS[[#All],[FIELD_ID]:[RANGE_VALIDATION_MAX]],18,FALSE)</f>
        <v>0</v>
      </c>
      <c r="F156" s="281">
        <f>VLOOKUP(A156,DB_TBL_DATA_FIELDS[[#All],[FIELD_ID]:[RANGE_VALIDATION_MAX]],19,FALSE)</f>
        <v>2000</v>
      </c>
      <c r="G156" s="281">
        <f t="shared" ca="1" si="17"/>
        <v>1</v>
      </c>
      <c r="H156" s="215"/>
      <c r="I156" s="600"/>
      <c r="J156" s="601"/>
      <c r="K156" s="601"/>
      <c r="L156" s="601"/>
      <c r="M156" s="601"/>
      <c r="N156" s="601"/>
      <c r="O156" s="601"/>
      <c r="P156" s="601"/>
      <c r="Q156" s="601"/>
      <c r="R156" s="601"/>
      <c r="S156" s="601"/>
      <c r="T156" s="601"/>
      <c r="U156" s="601"/>
      <c r="V156" s="601"/>
      <c r="W156" s="602"/>
      <c r="X156" s="153"/>
      <c r="Y156" s="194"/>
    </row>
    <row r="157" spans="1:25" ht="21.95" customHeight="1" x14ac:dyDescent="0.2">
      <c r="A157" s="273" t="s">
        <v>2540</v>
      </c>
      <c r="B157" s="288" t="str">
        <f>IF(I198&lt;&gt;"",I198,"")</f>
        <v/>
      </c>
      <c r="C157" s="281">
        <f ca="1">VLOOKUP(A157,DB_TBL_DATA_FIELDS[[FIELD_ID]:[PCT_CALC_FIELD_STATUS_CODE]],22,FALSE)</f>
        <v>1</v>
      </c>
      <c r="D157" s="281" t="str">
        <f>IF(VLOOKUP(A157,DB_TBL_DATA_FIELDS[[FIELD_ID]:[ERROR_MESSAGE]],23,FALSE)&lt;&gt;0,VLOOKUP(A157,DB_TBL_DATA_FIELDS[[FIELD_ID]:[ERROR_MESSAGE]],23,FALSE),"")</f>
        <v/>
      </c>
      <c r="E157" s="281">
        <f>VLOOKUP(A157,DB_TBL_DATA_FIELDS[[#All],[FIELD_ID]:[RANGE_VALIDATION_MAX]],18,FALSE)</f>
        <v>0</v>
      </c>
      <c r="F157" s="281">
        <f>VLOOKUP(A157,DB_TBL_DATA_FIELDS[[#All],[FIELD_ID]:[RANGE_VALIDATION_MAX]],19,FALSE)</f>
        <v>2000</v>
      </c>
      <c r="G157" s="281">
        <f t="shared" ca="1" si="17"/>
        <v>1</v>
      </c>
      <c r="H157" s="215"/>
      <c r="I157" s="603"/>
      <c r="J157" s="604"/>
      <c r="K157" s="604"/>
      <c r="L157" s="604"/>
      <c r="M157" s="604"/>
      <c r="N157" s="604"/>
      <c r="O157" s="604"/>
      <c r="P157" s="604"/>
      <c r="Q157" s="604"/>
      <c r="R157" s="604"/>
      <c r="S157" s="604"/>
      <c r="T157" s="604"/>
      <c r="U157" s="604"/>
      <c r="V157" s="604"/>
      <c r="W157" s="605"/>
      <c r="X157" s="153"/>
      <c r="Y157" s="194"/>
    </row>
    <row r="158" spans="1:25" ht="21.95" customHeight="1" x14ac:dyDescent="0.2">
      <c r="A158" s="290" t="s">
        <v>265</v>
      </c>
      <c r="B158" s="282" t="str">
        <f>"C"&amp;MATCH(LEFT(A158,LEN(A158)-LEN("_RANGE")),A:A,0)+1&amp;":C"&amp;(ROW()-1)</f>
        <v>C126:C157</v>
      </c>
      <c r="C158" s="281"/>
      <c r="D158" s="281"/>
      <c r="E158" s="281"/>
      <c r="F158" s="281"/>
      <c r="G158" s="281"/>
      <c r="H158" s="215"/>
      <c r="I158" s="224"/>
      <c r="J158" s="224"/>
      <c r="K158" s="224"/>
      <c r="L158" s="224"/>
      <c r="M158" s="224"/>
      <c r="N158" s="224"/>
      <c r="O158" s="224"/>
      <c r="P158" s="153"/>
      <c r="Q158" s="194"/>
      <c r="R158" s="153"/>
      <c r="S158" s="194"/>
      <c r="T158" s="153"/>
      <c r="U158" s="194"/>
      <c r="V158" s="153"/>
      <c r="W158" s="194"/>
      <c r="X158" s="153"/>
      <c r="Y158" s="194"/>
    </row>
    <row r="159" spans="1:25" ht="21.95" customHeight="1" thickBot="1" x14ac:dyDescent="0.25">
      <c r="A159" s="290" t="s">
        <v>266</v>
      </c>
      <c r="B159" s="282">
        <f ca="1">COUNTIF(INDIRECT($B158),2)</f>
        <v>0</v>
      </c>
      <c r="C159" s="281"/>
      <c r="D159" s="281"/>
      <c r="E159" s="281"/>
      <c r="F159" s="281"/>
      <c r="G159" s="281"/>
      <c r="H159" s="215"/>
      <c r="I159" s="216" t="s">
        <v>2541</v>
      </c>
      <c r="J159" s="192"/>
      <c r="K159" s="192"/>
      <c r="L159" s="192"/>
      <c r="M159" s="192"/>
      <c r="N159" s="192"/>
      <c r="O159" s="192"/>
      <c r="P159" s="217"/>
      <c r="Q159" s="223"/>
      <c r="R159" s="217"/>
      <c r="S159" s="223"/>
      <c r="T159" s="217"/>
      <c r="U159" s="223"/>
      <c r="V159" s="217"/>
      <c r="W159" s="223"/>
      <c r="X159" s="153"/>
      <c r="Y159" s="194"/>
    </row>
    <row r="160" spans="1:25" ht="21.95" customHeight="1" thickTop="1" x14ac:dyDescent="0.2">
      <c r="A160" s="290" t="s">
        <v>267</v>
      </c>
      <c r="B160" s="282">
        <f ca="1">COUNTIF(INDIRECT($B158),0)+COUNTIF(INDIRECT($B158),1)+COUNTIF(INDIRECT($B158),2)</f>
        <v>15</v>
      </c>
      <c r="C160" s="281"/>
      <c r="D160" s="281"/>
      <c r="E160" s="281"/>
      <c r="F160" s="281"/>
      <c r="G160" s="281"/>
      <c r="H160" s="215"/>
      <c r="I160" s="225" t="s">
        <v>3548</v>
      </c>
      <c r="J160" s="142"/>
      <c r="K160" s="142"/>
      <c r="L160" s="142"/>
      <c r="M160" s="142"/>
      <c r="N160" s="142"/>
      <c r="O160" s="142"/>
      <c r="P160" s="142"/>
      <c r="Q160" s="142"/>
      <c r="R160" s="142"/>
      <c r="S160" s="142"/>
      <c r="T160" s="142"/>
      <c r="U160" s="142"/>
      <c r="V160" s="142"/>
      <c r="W160" s="142"/>
      <c r="X160" s="153"/>
      <c r="Y160" s="194"/>
    </row>
    <row r="161" spans="1:25" ht="21.95" customHeight="1" x14ac:dyDescent="0.2">
      <c r="A161" s="290" t="s">
        <v>268</v>
      </c>
      <c r="B161" s="282">
        <f ca="1">COUNTIF(INDIRECT($B158),0)</f>
        <v>0</v>
      </c>
      <c r="C161" s="281" t="s">
        <v>2607</v>
      </c>
      <c r="D161" s="281"/>
      <c r="E161" s="281"/>
      <c r="F161" s="281"/>
      <c r="G161" s="281"/>
      <c r="H161" s="215"/>
      <c r="I161" s="204" t="s">
        <v>3539</v>
      </c>
      <c r="J161" s="142"/>
      <c r="K161" s="142"/>
      <c r="L161" s="142"/>
      <c r="M161" s="142"/>
      <c r="N161" s="142"/>
      <c r="O161" s="142"/>
      <c r="P161" s="142"/>
      <c r="Q161" s="142"/>
      <c r="R161" s="142"/>
      <c r="S161" s="142"/>
      <c r="T161" s="142"/>
      <c r="U161" s="142"/>
      <c r="V161" s="142"/>
      <c r="W161" s="175" t="str">
        <f>SUBSTITUTE(SUBSTITUTE(SUBSTITUTE(IF(LEN(B126)&gt;F126,CONFIG_CHAR_LIMIT_TEMPLATE_ERR,CONFIG_CHAR_LIMIT_TEMPLATE),"[diff]",ABS(LEN(B126)-F126)),"[limit]",F126),"[used]",LEN(B126))</f>
        <v>3000 character(s) remaining</v>
      </c>
      <c r="X161" s="153"/>
      <c r="Y161" s="194"/>
    </row>
    <row r="162" spans="1:25" ht="21.95" customHeight="1" x14ac:dyDescent="0.2">
      <c r="A162" s="290" t="s">
        <v>269</v>
      </c>
      <c r="B162" s="291">
        <f ca="1">IFERROR(B159/B160,1.01)</f>
        <v>0</v>
      </c>
      <c r="C162" s="281"/>
      <c r="D162" s="281"/>
      <c r="E162" s="281"/>
      <c r="F162" s="281"/>
      <c r="G162" s="281"/>
      <c r="H162" s="215"/>
      <c r="I162" s="500"/>
      <c r="J162" s="501"/>
      <c r="K162" s="501"/>
      <c r="L162" s="501"/>
      <c r="M162" s="501"/>
      <c r="N162" s="501"/>
      <c r="O162" s="501"/>
      <c r="P162" s="501"/>
      <c r="Q162" s="501"/>
      <c r="R162" s="501"/>
      <c r="S162" s="501"/>
      <c r="T162" s="501"/>
      <c r="U162" s="501"/>
      <c r="V162" s="501"/>
      <c r="W162" s="502"/>
      <c r="X162" s="165">
        <f ca="1">G126</f>
        <v>1</v>
      </c>
      <c r="Y162" s="194"/>
    </row>
    <row r="163" spans="1:25" ht="21.95" customHeight="1" x14ac:dyDescent="0.2">
      <c r="A163" s="290" t="s">
        <v>270</v>
      </c>
      <c r="B163" s="292" t="str">
        <f ca="1">IF(B161&gt;0,"Data Error(s)",IF(B162=0,"Not Started",IF(B162&lt;1,ROUNDUP(B162*100,0)&amp;"% Done",IF(B162&gt;1,"Optional","Complete"))))</f>
        <v>Not Started</v>
      </c>
      <c r="C163" s="281"/>
      <c r="D163" s="281"/>
      <c r="E163" s="281"/>
      <c r="F163" s="281"/>
      <c r="G163" s="281"/>
      <c r="H163" s="215"/>
      <c r="I163" s="503"/>
      <c r="J163" s="504"/>
      <c r="K163" s="504"/>
      <c r="L163" s="504"/>
      <c r="M163" s="504"/>
      <c r="N163" s="504"/>
      <c r="O163" s="504"/>
      <c r="P163" s="504"/>
      <c r="Q163" s="504"/>
      <c r="R163" s="504"/>
      <c r="S163" s="504"/>
      <c r="T163" s="504"/>
      <c r="U163" s="504"/>
      <c r="V163" s="504"/>
      <c r="W163" s="505"/>
      <c r="X163" s="153"/>
      <c r="Y163" s="194"/>
    </row>
    <row r="164" spans="1:25" ht="21.95" customHeight="1" x14ac:dyDescent="0.2">
      <c r="A164" s="290" t="s">
        <v>271</v>
      </c>
      <c r="B164" s="282" t="str">
        <f ca="1">IF(B161&gt;0,0,IF(B162&lt;1,"",2))</f>
        <v/>
      </c>
      <c r="C164" s="281"/>
      <c r="D164" s="281"/>
      <c r="E164" s="281"/>
      <c r="F164" s="281"/>
      <c r="G164" s="281"/>
      <c r="H164" s="215"/>
      <c r="I164" s="503"/>
      <c r="J164" s="504"/>
      <c r="K164" s="504"/>
      <c r="L164" s="504"/>
      <c r="M164" s="504"/>
      <c r="N164" s="504"/>
      <c r="O164" s="504"/>
      <c r="P164" s="504"/>
      <c r="Q164" s="504"/>
      <c r="R164" s="504"/>
      <c r="S164" s="504"/>
      <c r="T164" s="504"/>
      <c r="U164" s="504"/>
      <c r="V164" s="504"/>
      <c r="W164" s="505"/>
      <c r="X164" s="153"/>
      <c r="Y164" s="194"/>
    </row>
    <row r="165" spans="1:25" ht="21.95" customHeight="1" x14ac:dyDescent="0.2">
      <c r="A165" s="290" t="s">
        <v>272</v>
      </c>
      <c r="B165" s="293" t="s">
        <v>2584</v>
      </c>
      <c r="C165" s="281"/>
      <c r="D165" s="281"/>
      <c r="E165" s="281"/>
      <c r="F165" s="281"/>
      <c r="G165" s="281"/>
      <c r="H165" s="215"/>
      <c r="I165" s="503"/>
      <c r="J165" s="504"/>
      <c r="K165" s="504"/>
      <c r="L165" s="504"/>
      <c r="M165" s="504"/>
      <c r="N165" s="504"/>
      <c r="O165" s="504"/>
      <c r="P165" s="504"/>
      <c r="Q165" s="504"/>
      <c r="R165" s="504"/>
      <c r="S165" s="504"/>
      <c r="T165" s="504"/>
      <c r="U165" s="504"/>
      <c r="V165" s="504"/>
      <c r="W165" s="505"/>
      <c r="X165" s="153"/>
      <c r="Y165" s="194"/>
    </row>
    <row r="166" spans="1:25" ht="21.95" customHeight="1" x14ac:dyDescent="0.2">
      <c r="A166" s="294" t="s">
        <v>2358</v>
      </c>
      <c r="B166" s="282">
        <v>0</v>
      </c>
      <c r="C166" s="281" t="s">
        <v>2462</v>
      </c>
      <c r="D166" s="281"/>
      <c r="E166" s="281"/>
      <c r="F166" s="281"/>
      <c r="G166" s="281"/>
      <c r="H166" s="215"/>
      <c r="I166" s="503"/>
      <c r="J166" s="504"/>
      <c r="K166" s="504"/>
      <c r="L166" s="504"/>
      <c r="M166" s="504"/>
      <c r="N166" s="504"/>
      <c r="O166" s="504"/>
      <c r="P166" s="504"/>
      <c r="Q166" s="504"/>
      <c r="R166" s="504"/>
      <c r="S166" s="504"/>
      <c r="T166" s="504"/>
      <c r="U166" s="504"/>
      <c r="V166" s="504"/>
      <c r="W166" s="505"/>
      <c r="X166" s="153"/>
      <c r="Y166" s="194"/>
    </row>
    <row r="167" spans="1:25" ht="21.95" customHeight="1" x14ac:dyDescent="0.2">
      <c r="A167" s="294" t="s">
        <v>2359</v>
      </c>
      <c r="B167" s="282" t="b">
        <f>(B166&gt;0)</f>
        <v>0</v>
      </c>
      <c r="C167" s="281"/>
      <c r="D167" s="281"/>
      <c r="E167" s="281"/>
      <c r="F167" s="281"/>
      <c r="G167" s="281"/>
      <c r="H167" s="215"/>
      <c r="I167" s="503"/>
      <c r="J167" s="504"/>
      <c r="K167" s="504"/>
      <c r="L167" s="504"/>
      <c r="M167" s="504"/>
      <c r="N167" s="504"/>
      <c r="O167" s="504"/>
      <c r="P167" s="504"/>
      <c r="Q167" s="504"/>
      <c r="R167" s="504"/>
      <c r="S167" s="504"/>
      <c r="T167" s="504"/>
      <c r="U167" s="504"/>
      <c r="V167" s="504"/>
      <c r="W167" s="505"/>
      <c r="X167" s="153"/>
      <c r="Y167" s="194"/>
    </row>
    <row r="168" spans="1:25" ht="21.95" customHeight="1" x14ac:dyDescent="0.2">
      <c r="A168" s="285" t="s">
        <v>276</v>
      </c>
      <c r="B168" s="305" t="s">
        <v>2630</v>
      </c>
      <c r="C168" s="287"/>
      <c r="D168" s="287"/>
      <c r="E168" s="287"/>
      <c r="F168" s="287"/>
      <c r="G168" s="172" t="str">
        <f>B186</f>
        <v>Timing and Use of Funds</v>
      </c>
      <c r="H168" s="215"/>
      <c r="I168" s="503"/>
      <c r="J168" s="504"/>
      <c r="K168" s="504"/>
      <c r="L168" s="504"/>
      <c r="M168" s="504"/>
      <c r="N168" s="504"/>
      <c r="O168" s="504"/>
      <c r="P168" s="504"/>
      <c r="Q168" s="504"/>
      <c r="R168" s="504"/>
      <c r="S168" s="504"/>
      <c r="T168" s="504"/>
      <c r="U168" s="504"/>
      <c r="V168" s="504"/>
      <c r="W168" s="505"/>
      <c r="X168" s="153"/>
      <c r="Y168" s="194"/>
    </row>
    <row r="169" spans="1:25" ht="21.95" customHeight="1" x14ac:dyDescent="0.2">
      <c r="A169" s="273" t="s">
        <v>2608</v>
      </c>
      <c r="B169" s="288" t="str">
        <f>IF(U211&lt;&gt;"",U211,"")</f>
        <v/>
      </c>
      <c r="C169" s="281">
        <f ca="1">VLOOKUP(A169,DB_TBL_DATA_FIELDS[[FIELD_ID]:[PCT_CALC_FIELD_STATUS_CODE]],22,FALSE)</f>
        <v>1</v>
      </c>
      <c r="D169" s="281" t="str">
        <f>IF(VLOOKUP(A169,DB_TBL_DATA_FIELDS[[FIELD_ID]:[ERROR_MESSAGE]],23,FALSE)&lt;&gt;0,VLOOKUP(A169,DB_TBL_DATA_FIELDS[[FIELD_ID]:[ERROR_MESSAGE]],23,FALSE),"")</f>
        <v/>
      </c>
      <c r="E169" s="281">
        <f>VLOOKUP(A169,DB_TBL_DATA_FIELDS[[#All],[FIELD_ID]:[RANGE_VALIDATION_MAX]],18,FALSE)</f>
        <v>0</v>
      </c>
      <c r="F169" s="281">
        <f>VLOOKUP(A169,DB_TBL_DATA_FIELDS[[#All],[FIELD_ID]:[RANGE_VALIDATION_MAX]],19,FALSE)</f>
        <v>20</v>
      </c>
      <c r="G169" s="281">
        <f ca="1">IF(C169&lt;0,"",C169)</f>
        <v>1</v>
      </c>
      <c r="H169" s="215"/>
      <c r="I169" s="503"/>
      <c r="J169" s="504"/>
      <c r="K169" s="504"/>
      <c r="L169" s="504"/>
      <c r="M169" s="504"/>
      <c r="N169" s="504"/>
      <c r="O169" s="504"/>
      <c r="P169" s="504"/>
      <c r="Q169" s="504"/>
      <c r="R169" s="504"/>
      <c r="S169" s="504"/>
      <c r="T169" s="504"/>
      <c r="U169" s="504"/>
      <c r="V169" s="504"/>
      <c r="W169" s="505"/>
      <c r="X169" s="153"/>
      <c r="Y169" s="194"/>
    </row>
    <row r="170" spans="1:25" ht="21.95" customHeight="1" x14ac:dyDescent="0.2">
      <c r="A170" s="273" t="s">
        <v>2609</v>
      </c>
      <c r="B170" s="288" t="str">
        <f>IF(U212&lt;&gt;"",U212,"")</f>
        <v/>
      </c>
      <c r="C170" s="281">
        <f ca="1">VLOOKUP(A170,DB_TBL_DATA_FIELDS[[FIELD_ID]:[PCT_CALC_FIELD_STATUS_CODE]],22,FALSE)</f>
        <v>1</v>
      </c>
      <c r="D170" s="281" t="str">
        <f>IF(VLOOKUP(A170,DB_TBL_DATA_FIELDS[[FIELD_ID]:[ERROR_MESSAGE]],23,FALSE)&lt;&gt;0,VLOOKUP(A170,DB_TBL_DATA_FIELDS[[FIELD_ID]:[ERROR_MESSAGE]],23,FALSE),"")</f>
        <v/>
      </c>
      <c r="E170" s="281">
        <f>VLOOKUP(A170,DB_TBL_DATA_FIELDS[[#All],[FIELD_ID]:[RANGE_VALIDATION_MAX]],18,FALSE)</f>
        <v>0</v>
      </c>
      <c r="F170" s="281">
        <f>VLOOKUP(A170,DB_TBL_DATA_FIELDS[[#All],[FIELD_ID]:[RANGE_VALIDATION_MAX]],19,FALSE)</f>
        <v>20</v>
      </c>
      <c r="G170" s="281">
        <f t="shared" ref="G170:G177" ca="1" si="20">IF(C170&lt;0,"",C170)</f>
        <v>1</v>
      </c>
      <c r="H170" s="215"/>
      <c r="I170" s="503"/>
      <c r="J170" s="504"/>
      <c r="K170" s="504"/>
      <c r="L170" s="504"/>
      <c r="M170" s="504"/>
      <c r="N170" s="504"/>
      <c r="O170" s="504"/>
      <c r="P170" s="504"/>
      <c r="Q170" s="504"/>
      <c r="R170" s="504"/>
      <c r="S170" s="504"/>
      <c r="T170" s="504"/>
      <c r="U170" s="504"/>
      <c r="V170" s="504"/>
      <c r="W170" s="505"/>
      <c r="X170" s="153"/>
      <c r="Y170" s="194"/>
    </row>
    <row r="171" spans="1:25" ht="21.95" customHeight="1" x14ac:dyDescent="0.2">
      <c r="A171" s="273" t="s">
        <v>2610</v>
      </c>
      <c r="B171" s="288" t="str">
        <f>IF(W213="","",IF(UPPER(W213)="YES",TRUE,FALSE))</f>
        <v/>
      </c>
      <c r="C171" s="281">
        <f ca="1">VLOOKUP(A171,DB_TBL_DATA_FIELDS[[FIELD_ID]:[PCT_CALC_FIELD_STATUS_CODE]],22,FALSE)</f>
        <v>1</v>
      </c>
      <c r="D171" s="281" t="str">
        <f>IF(VLOOKUP(A171,DB_TBL_DATA_FIELDS[[FIELD_ID]:[ERROR_MESSAGE]],23,FALSE)&lt;&gt;0,VLOOKUP(A171,DB_TBL_DATA_FIELDS[[FIELD_ID]:[ERROR_MESSAGE]],23,FALSE),"")</f>
        <v/>
      </c>
      <c r="E171" s="281">
        <f>VLOOKUP(A171,DB_TBL_DATA_FIELDS[[#All],[FIELD_ID]:[RANGE_VALIDATION_MAX]],18,FALSE)</f>
        <v>0</v>
      </c>
      <c r="F171" s="281">
        <f>VLOOKUP(A171,DB_TBL_DATA_FIELDS[[#All],[FIELD_ID]:[RANGE_VALIDATION_MAX]],19,FALSE)</f>
        <v>1</v>
      </c>
      <c r="G171" s="281">
        <f t="shared" ca="1" si="20"/>
        <v>1</v>
      </c>
      <c r="H171" s="215"/>
      <c r="I171" s="503"/>
      <c r="J171" s="504"/>
      <c r="K171" s="504"/>
      <c r="L171" s="504"/>
      <c r="M171" s="504"/>
      <c r="N171" s="504"/>
      <c r="O171" s="504"/>
      <c r="P171" s="504"/>
      <c r="Q171" s="504"/>
      <c r="R171" s="504"/>
      <c r="S171" s="504"/>
      <c r="T171" s="504"/>
      <c r="U171" s="504"/>
      <c r="V171" s="504"/>
      <c r="W171" s="505"/>
      <c r="X171" s="153"/>
      <c r="Y171" s="194"/>
    </row>
    <row r="172" spans="1:25" ht="21.95" customHeight="1" x14ac:dyDescent="0.2">
      <c r="A172" s="273" t="s">
        <v>3616</v>
      </c>
      <c r="B172" s="288" t="str">
        <f>IF(U216&lt;&gt;"",U216,"")</f>
        <v/>
      </c>
      <c r="C172" s="281">
        <f ca="1">VLOOKUP(A172,DB_TBL_DATA_FIELDS[[FIELD_ID]:[PCT_CALC_FIELD_STATUS_CODE]],22,FALSE)</f>
        <v>1</v>
      </c>
      <c r="D172" s="281" t="str">
        <f>IF(VLOOKUP(A172,DB_TBL_DATA_FIELDS[[FIELD_ID]:[ERROR_MESSAGE]],23,FALSE)&lt;&gt;0,VLOOKUP(A172,DB_TBL_DATA_FIELDS[[FIELD_ID]:[ERROR_MESSAGE]],23,FALSE),"")</f>
        <v/>
      </c>
      <c r="E172" s="281">
        <f>VLOOKUP(A172,DB_TBL_DATA_FIELDS[[#All],[FIELD_ID]:[RANGE_VALIDATION_MAX]],18,FALSE)</f>
        <v>0</v>
      </c>
      <c r="F172" s="281">
        <f>VLOOKUP(A172,DB_TBL_DATA_FIELDS[[#All],[FIELD_ID]:[RANGE_VALIDATION_MAX]],19,FALSE)</f>
        <v>32767</v>
      </c>
      <c r="G172" s="281">
        <f t="shared" ref="G172:G173" ca="1" si="21">IF(C172&lt;0,"",C172)</f>
        <v>1</v>
      </c>
      <c r="H172" s="215"/>
      <c r="I172" s="503"/>
      <c r="J172" s="504"/>
      <c r="K172" s="504"/>
      <c r="L172" s="504"/>
      <c r="M172" s="504"/>
      <c r="N172" s="504"/>
      <c r="O172" s="504"/>
      <c r="P172" s="504"/>
      <c r="Q172" s="504"/>
      <c r="R172" s="504"/>
      <c r="S172" s="504"/>
      <c r="T172" s="504"/>
      <c r="U172" s="504"/>
      <c r="V172" s="504"/>
      <c r="W172" s="505"/>
      <c r="X172" s="153"/>
      <c r="Y172" s="194"/>
    </row>
    <row r="173" spans="1:25" ht="21.95" customHeight="1" x14ac:dyDescent="0.2">
      <c r="A173" s="273" t="s">
        <v>3617</v>
      </c>
      <c r="B173" s="288" t="str">
        <f>IF(U217&lt;&gt;"",U217,"")</f>
        <v/>
      </c>
      <c r="C173" s="281">
        <f ca="1">VLOOKUP(A173,DB_TBL_DATA_FIELDS[[FIELD_ID]:[PCT_CALC_FIELD_STATUS_CODE]],22,FALSE)</f>
        <v>1</v>
      </c>
      <c r="D173" s="281" t="str">
        <f ca="1">IF(VLOOKUP(A173,DB_TBL_DATA_FIELDS[[FIELD_ID]:[ERROR_MESSAGE]],23,FALSE)&lt;&gt;0,VLOOKUP(A173,DB_TBL_DATA_FIELDS[[FIELD_ID]:[ERROR_MESSAGE]],23,FALSE),"")</f>
        <v/>
      </c>
      <c r="E173" s="281">
        <f>VLOOKUP(A173,DB_TBL_DATA_FIELDS[[#All],[FIELD_ID]:[RANGE_VALIDATION_MAX]],18,FALSE)</f>
        <v>0</v>
      </c>
      <c r="F173" s="281">
        <f>VLOOKUP(A173,DB_TBL_DATA_FIELDS[[#All],[FIELD_ID]:[RANGE_VALIDATION_MAX]],19,FALSE)</f>
        <v>32767</v>
      </c>
      <c r="G173" s="281">
        <f t="shared" ca="1" si="21"/>
        <v>1</v>
      </c>
      <c r="H173" s="215"/>
      <c r="I173" s="506"/>
      <c r="J173" s="507"/>
      <c r="K173" s="507"/>
      <c r="L173" s="507"/>
      <c r="M173" s="507"/>
      <c r="N173" s="507"/>
      <c r="O173" s="507"/>
      <c r="P173" s="507"/>
      <c r="Q173" s="507"/>
      <c r="R173" s="507"/>
      <c r="S173" s="507"/>
      <c r="T173" s="507"/>
      <c r="U173" s="507"/>
      <c r="V173" s="507"/>
      <c r="W173" s="508"/>
      <c r="X173" s="153"/>
      <c r="Y173" s="194"/>
    </row>
    <row r="174" spans="1:25" ht="21.95" customHeight="1" x14ac:dyDescent="0.2">
      <c r="A174" s="273" t="s">
        <v>2613</v>
      </c>
      <c r="B174" s="288" t="str">
        <f>IF(W220="","",IF(UPPER(W220)="YES",TRUE,FALSE))</f>
        <v/>
      </c>
      <c r="C174" s="281" t="str">
        <f ca="1">VLOOKUP(A174,DB_TBL_DATA_FIELDS[[FIELD_ID]:[PCT_CALC_FIELD_STATUS_CODE]],22,FALSE)</f>
        <v/>
      </c>
      <c r="D174" s="281" t="str">
        <f>IF(VLOOKUP(A174,DB_TBL_DATA_FIELDS[[FIELD_ID]:[ERROR_MESSAGE]],23,FALSE)&lt;&gt;0,VLOOKUP(A174,DB_TBL_DATA_FIELDS[[FIELD_ID]:[ERROR_MESSAGE]],23,FALSE),"")</f>
        <v/>
      </c>
      <c r="E174" s="281">
        <f>VLOOKUP(A174,DB_TBL_DATA_FIELDS[[#All],[FIELD_ID]:[RANGE_VALIDATION_MAX]],18,FALSE)</f>
        <v>0</v>
      </c>
      <c r="F174" s="281">
        <f>VLOOKUP(A174,DB_TBL_DATA_FIELDS[[#All],[FIELD_ID]:[RANGE_VALIDATION_MAX]],19,FALSE)</f>
        <v>1</v>
      </c>
      <c r="G174" s="281" t="str">
        <f t="shared" ca="1" si="20"/>
        <v/>
      </c>
      <c r="H174" s="215"/>
      <c r="I174" s="224"/>
      <c r="J174" s="224"/>
      <c r="K174" s="224"/>
      <c r="L174" s="224"/>
      <c r="M174" s="224"/>
      <c r="N174" s="224"/>
      <c r="O174" s="224"/>
      <c r="P174" s="153"/>
      <c r="Q174" s="194"/>
      <c r="R174" s="153"/>
      <c r="S174" s="194"/>
      <c r="T174" s="153"/>
      <c r="U174" s="194"/>
      <c r="V174" s="153"/>
      <c r="W174" s="194"/>
      <c r="X174" s="153"/>
      <c r="Y174" s="194"/>
    </row>
    <row r="175" spans="1:25" ht="21.95" customHeight="1" thickBot="1" x14ac:dyDescent="0.25">
      <c r="A175" s="273" t="s">
        <v>2614</v>
      </c>
      <c r="B175" s="288" t="str">
        <f>IF(W221="","",IF(UPPER(W221)="YES",TRUE,FALSE))</f>
        <v/>
      </c>
      <c r="C175" s="281" t="str">
        <f ca="1">VLOOKUP(A175,DB_TBL_DATA_FIELDS[[FIELD_ID]:[PCT_CALC_FIELD_STATUS_CODE]],22,FALSE)</f>
        <v/>
      </c>
      <c r="D175" s="281" t="str">
        <f>IF(VLOOKUP(A175,DB_TBL_DATA_FIELDS[[FIELD_ID]:[ERROR_MESSAGE]],23,FALSE)&lt;&gt;0,VLOOKUP(A175,DB_TBL_DATA_FIELDS[[FIELD_ID]:[ERROR_MESSAGE]],23,FALSE),"")</f>
        <v/>
      </c>
      <c r="E175" s="281">
        <f>VLOOKUP(A175,DB_TBL_DATA_FIELDS[[#All],[FIELD_ID]:[RANGE_VALIDATION_MAX]],18,FALSE)</f>
        <v>0</v>
      </c>
      <c r="F175" s="281">
        <f>VLOOKUP(A175,DB_TBL_DATA_FIELDS[[#All],[FIELD_ID]:[RANGE_VALIDATION_MAX]],19,FALSE)</f>
        <v>1</v>
      </c>
      <c r="G175" s="281" t="str">
        <f t="shared" ca="1" si="20"/>
        <v/>
      </c>
      <c r="H175" s="215"/>
      <c r="I175" s="216" t="s">
        <v>3435</v>
      </c>
      <c r="J175" s="222"/>
      <c r="K175" s="222"/>
      <c r="L175" s="222"/>
      <c r="M175" s="222"/>
      <c r="N175" s="222"/>
      <c r="O175" s="222"/>
      <c r="P175" s="217"/>
      <c r="Q175" s="223"/>
      <c r="R175" s="217"/>
      <c r="S175" s="223"/>
      <c r="T175" s="217"/>
      <c r="U175" s="223"/>
      <c r="V175" s="217"/>
      <c r="W175" s="223"/>
      <c r="X175" s="153"/>
      <c r="Y175" s="194"/>
    </row>
    <row r="176" spans="1:25" ht="21.95" customHeight="1" thickTop="1" x14ac:dyDescent="0.2">
      <c r="A176" s="273" t="s">
        <v>2615</v>
      </c>
      <c r="B176" s="288" t="str">
        <f>IF(W222="","",IF(UPPER(W222)="YES",TRUE,FALSE))</f>
        <v/>
      </c>
      <c r="C176" s="281" t="str">
        <f ca="1">VLOOKUP(A176,DB_TBL_DATA_FIELDS[[FIELD_ID]:[PCT_CALC_FIELD_STATUS_CODE]],22,FALSE)</f>
        <v/>
      </c>
      <c r="D176" s="281" t="str">
        <f>IF(VLOOKUP(A176,DB_TBL_DATA_FIELDS[[FIELD_ID]:[ERROR_MESSAGE]],23,FALSE)&lt;&gt;0,VLOOKUP(A176,DB_TBL_DATA_FIELDS[[FIELD_ID]:[ERROR_MESSAGE]],23,FALSE),"")</f>
        <v/>
      </c>
      <c r="E176" s="281">
        <f>VLOOKUP(A176,DB_TBL_DATA_FIELDS[[#All],[FIELD_ID]:[RANGE_VALIDATION_MAX]],18,FALSE)</f>
        <v>0</v>
      </c>
      <c r="F176" s="281">
        <f>VLOOKUP(A176,DB_TBL_DATA_FIELDS[[#All],[FIELD_ID]:[RANGE_VALIDATION_MAX]],19,FALSE)</f>
        <v>1</v>
      </c>
      <c r="G176" s="281" t="str">
        <f t="shared" ca="1" si="20"/>
        <v/>
      </c>
      <c r="H176" s="215"/>
      <c r="I176" s="352" t="s">
        <v>3549</v>
      </c>
      <c r="J176" s="349"/>
      <c r="K176" s="349"/>
      <c r="L176" s="349"/>
      <c r="M176" s="349"/>
      <c r="N176" s="349"/>
      <c r="O176" s="349"/>
      <c r="P176" s="349"/>
      <c r="Q176" s="349"/>
      <c r="R176" s="349"/>
      <c r="S176" s="349"/>
      <c r="T176" s="349"/>
      <c r="U176" s="349"/>
      <c r="V176" s="349"/>
      <c r="W176" s="349"/>
      <c r="X176" s="153"/>
      <c r="Y176" s="194"/>
    </row>
    <row r="177" spans="1:25" ht="21.95" customHeight="1" x14ac:dyDescent="0.2">
      <c r="A177" s="273" t="s">
        <v>2616</v>
      </c>
      <c r="B177" s="288" t="str">
        <f>IF(W223="","",IF(UPPER(W223)="YES",TRUE,FALSE))</f>
        <v/>
      </c>
      <c r="C177" s="281" t="str">
        <f ca="1">VLOOKUP(A177,DB_TBL_DATA_FIELDS[[FIELD_ID]:[PCT_CALC_FIELD_STATUS_CODE]],22,FALSE)</f>
        <v/>
      </c>
      <c r="D177" s="281" t="str">
        <f>IF(VLOOKUP(A177,DB_TBL_DATA_FIELDS[[FIELD_ID]:[ERROR_MESSAGE]],23,FALSE)&lt;&gt;0,VLOOKUP(A177,DB_TBL_DATA_FIELDS[[FIELD_ID]:[ERROR_MESSAGE]],23,FALSE),"")</f>
        <v/>
      </c>
      <c r="E177" s="281">
        <f>VLOOKUP(A177,DB_TBL_DATA_FIELDS[[#All],[FIELD_ID]:[RANGE_VALIDATION_MAX]],18,FALSE)</f>
        <v>0</v>
      </c>
      <c r="F177" s="281">
        <f>VLOOKUP(A177,DB_TBL_DATA_FIELDS[[#All],[FIELD_ID]:[RANGE_VALIDATION_MAX]],19,FALSE)</f>
        <v>1</v>
      </c>
      <c r="G177" s="281" t="str">
        <f t="shared" ca="1" si="20"/>
        <v/>
      </c>
      <c r="H177" s="215"/>
      <c r="I177" s="231" t="s">
        <v>3550</v>
      </c>
      <c r="J177" s="350"/>
      <c r="K177" s="350"/>
      <c r="L177" s="350"/>
      <c r="M177" s="350"/>
      <c r="N177" s="350"/>
      <c r="O177" s="350"/>
      <c r="P177" s="350"/>
      <c r="Q177" s="350"/>
      <c r="R177" s="350"/>
      <c r="S177" s="350"/>
      <c r="T177" s="350"/>
      <c r="U177" s="350"/>
      <c r="V177" s="350"/>
      <c r="W177" s="350"/>
      <c r="X177" s="153"/>
      <c r="Y177" s="194"/>
    </row>
    <row r="178" spans="1:25" ht="21.95" customHeight="1" x14ac:dyDescent="0.2">
      <c r="A178" s="273" t="s">
        <v>2617</v>
      </c>
      <c r="B178" s="288" t="str">
        <f>IF(W224="","",IF(UPPER(W224)="YES",TRUE,FALSE))</f>
        <v/>
      </c>
      <c r="C178" s="281" t="str">
        <f ca="1">VLOOKUP(A178,DB_TBL_DATA_FIELDS[[FIELD_ID]:[PCT_CALC_FIELD_STATUS_CODE]],22,FALSE)</f>
        <v/>
      </c>
      <c r="D178" s="281" t="str">
        <f>IF(VLOOKUP(A178,DB_TBL_DATA_FIELDS[[FIELD_ID]:[ERROR_MESSAGE]],23,FALSE)&lt;&gt;0,VLOOKUP(A178,DB_TBL_DATA_FIELDS[[FIELD_ID]:[ERROR_MESSAGE]],23,FALSE),"")</f>
        <v/>
      </c>
      <c r="E178" s="281">
        <f>VLOOKUP(A178,DB_TBL_DATA_FIELDS[[#All],[FIELD_ID]:[RANGE_VALIDATION_MAX]],18,FALSE)</f>
        <v>0</v>
      </c>
      <c r="F178" s="281">
        <f>VLOOKUP(A178,DB_TBL_DATA_FIELDS[[#All],[FIELD_ID]:[RANGE_VALIDATION_MAX]],19,FALSE)</f>
        <v>1</v>
      </c>
      <c r="G178" s="281" t="str">
        <f t="shared" ref="G178" ca="1" si="22">IF(C178&lt;0,"",C178)</f>
        <v/>
      </c>
      <c r="H178" s="215"/>
      <c r="I178" s="353" t="s">
        <v>3551</v>
      </c>
      <c r="J178" s="351"/>
      <c r="K178" s="351"/>
      <c r="L178" s="351"/>
      <c r="M178" s="351"/>
      <c r="N178" s="351"/>
      <c r="O178" s="351"/>
      <c r="P178" s="351"/>
      <c r="Q178" s="351"/>
      <c r="R178" s="351"/>
      <c r="S178" s="351"/>
      <c r="T178" s="351"/>
      <c r="U178" s="351"/>
      <c r="V178" s="351"/>
      <c r="W178" s="175" t="str">
        <f>SUBSTITUTE(SUBSTITUTE(SUBSTITUTE(IF(LEN(B156)&gt;F156,CONFIG_CHAR_LIMIT_TEMPLATE_ERR,CONFIG_CHAR_LIMIT_TEMPLATE),"[diff]",ABS(LEN(B156)-F156)),"[limit]",F156),"[used]",LEN(B156))</f>
        <v>2000 character(s) remaining</v>
      </c>
      <c r="X178" s="153"/>
      <c r="Y178" s="194"/>
    </row>
    <row r="179" spans="1:25" ht="21.95" customHeight="1" x14ac:dyDescent="0.2">
      <c r="A179" s="290" t="s">
        <v>277</v>
      </c>
      <c r="B179" s="282" t="str">
        <f>"C"&amp;MATCH(LEFT(A179,LEN(A179)-LEN("_RANGE")),A:A,0)+1&amp;":C"&amp;(ROW()-1)</f>
        <v>C169:C178</v>
      </c>
      <c r="C179" s="281"/>
      <c r="D179" s="281"/>
      <c r="E179" s="281"/>
      <c r="F179" s="281"/>
      <c r="G179" s="281"/>
      <c r="H179" s="215"/>
      <c r="I179" s="500"/>
      <c r="J179" s="501"/>
      <c r="K179" s="501"/>
      <c r="L179" s="501"/>
      <c r="M179" s="501"/>
      <c r="N179" s="501"/>
      <c r="O179" s="501"/>
      <c r="P179" s="501"/>
      <c r="Q179" s="501"/>
      <c r="R179" s="501"/>
      <c r="S179" s="501"/>
      <c r="T179" s="501"/>
      <c r="U179" s="501"/>
      <c r="V179" s="501"/>
      <c r="W179" s="502"/>
      <c r="X179" s="165">
        <f ca="1">G156</f>
        <v>1</v>
      </c>
      <c r="Y179" s="194"/>
    </row>
    <row r="180" spans="1:25" ht="21.95" customHeight="1" x14ac:dyDescent="0.2">
      <c r="A180" s="290" t="s">
        <v>278</v>
      </c>
      <c r="B180" s="282">
        <f ca="1">COUNTIF(INDIRECT($B179),2)</f>
        <v>0</v>
      </c>
      <c r="C180" s="281"/>
      <c r="D180" s="281"/>
      <c r="E180" s="281"/>
      <c r="F180" s="281"/>
      <c r="G180" s="281"/>
      <c r="H180" s="215"/>
      <c r="I180" s="503"/>
      <c r="J180" s="504"/>
      <c r="K180" s="504"/>
      <c r="L180" s="504"/>
      <c r="M180" s="504"/>
      <c r="N180" s="504"/>
      <c r="O180" s="504"/>
      <c r="P180" s="504"/>
      <c r="Q180" s="504"/>
      <c r="R180" s="504"/>
      <c r="S180" s="504"/>
      <c r="T180" s="504"/>
      <c r="U180" s="504"/>
      <c r="V180" s="504"/>
      <c r="W180" s="505"/>
      <c r="X180" s="153"/>
      <c r="Y180" s="194"/>
    </row>
    <row r="181" spans="1:25" ht="21.95" customHeight="1" x14ac:dyDescent="0.2">
      <c r="A181" s="290" t="s">
        <v>279</v>
      </c>
      <c r="B181" s="282">
        <f ca="1">COUNTIF(INDIRECT($B179),0)+COUNTIF(INDIRECT($B179),1)+COUNTIF(INDIRECT($B179),2)</f>
        <v>5</v>
      </c>
      <c r="C181" s="281"/>
      <c r="D181" s="281"/>
      <c r="E181" s="281"/>
      <c r="F181" s="281"/>
      <c r="G181" s="281"/>
      <c r="H181" s="215"/>
      <c r="I181" s="503"/>
      <c r="J181" s="504"/>
      <c r="K181" s="504"/>
      <c r="L181" s="504"/>
      <c r="M181" s="504"/>
      <c r="N181" s="504"/>
      <c r="O181" s="504"/>
      <c r="P181" s="504"/>
      <c r="Q181" s="504"/>
      <c r="R181" s="504"/>
      <c r="S181" s="504"/>
      <c r="T181" s="504"/>
      <c r="U181" s="504"/>
      <c r="V181" s="504"/>
      <c r="W181" s="505"/>
      <c r="X181" s="153"/>
      <c r="Y181" s="194"/>
    </row>
    <row r="182" spans="1:25" ht="21.95" customHeight="1" x14ac:dyDescent="0.2">
      <c r="A182" s="290" t="s">
        <v>280</v>
      </c>
      <c r="B182" s="282">
        <f ca="1">COUNTIF(INDIRECT($B179),0)</f>
        <v>0</v>
      </c>
      <c r="C182" s="281" t="s">
        <v>2607</v>
      </c>
      <c r="D182" s="281"/>
      <c r="E182" s="281"/>
      <c r="F182" s="281"/>
      <c r="G182" s="281"/>
      <c r="H182" s="215"/>
      <c r="I182" s="503"/>
      <c r="J182" s="504"/>
      <c r="K182" s="504"/>
      <c r="L182" s="504"/>
      <c r="M182" s="504"/>
      <c r="N182" s="504"/>
      <c r="O182" s="504"/>
      <c r="P182" s="504"/>
      <c r="Q182" s="504"/>
      <c r="R182" s="504"/>
      <c r="S182" s="504"/>
      <c r="T182" s="504"/>
      <c r="U182" s="504"/>
      <c r="V182" s="504"/>
      <c r="W182" s="505"/>
      <c r="X182" s="153"/>
      <c r="Y182" s="194"/>
    </row>
    <row r="183" spans="1:25" ht="21.95" customHeight="1" x14ac:dyDescent="0.2">
      <c r="A183" s="290" t="s">
        <v>281</v>
      </c>
      <c r="B183" s="291">
        <f ca="1">IFERROR(B180/B181,1.01)</f>
        <v>0</v>
      </c>
      <c r="C183" s="281"/>
      <c r="D183" s="281"/>
      <c r="E183" s="281"/>
      <c r="F183" s="281"/>
      <c r="G183" s="281"/>
      <c r="H183" s="215"/>
      <c r="I183" s="503"/>
      <c r="J183" s="504"/>
      <c r="K183" s="504"/>
      <c r="L183" s="504"/>
      <c r="M183" s="504"/>
      <c r="N183" s="504"/>
      <c r="O183" s="504"/>
      <c r="P183" s="504"/>
      <c r="Q183" s="504"/>
      <c r="R183" s="504"/>
      <c r="S183" s="504"/>
      <c r="T183" s="504"/>
      <c r="U183" s="504"/>
      <c r="V183" s="504"/>
      <c r="W183" s="505"/>
      <c r="X183" s="153"/>
      <c r="Y183" s="194"/>
    </row>
    <row r="184" spans="1:25" ht="21.95" customHeight="1" x14ac:dyDescent="0.2">
      <c r="A184" s="290" t="s">
        <v>282</v>
      </c>
      <c r="B184" s="292" t="str">
        <f ca="1">IF(B182&gt;0,"Data Error(s)",IF(B183=0,"Not Started",IF(B183&lt;1,ROUNDUP(B183*100,0)&amp;"% Done",IF(B183&gt;1,"Optional","Complete"))))</f>
        <v>Not Started</v>
      </c>
      <c r="C184" s="281"/>
      <c r="D184" s="281"/>
      <c r="E184" s="281"/>
      <c r="F184" s="281"/>
      <c r="G184" s="281"/>
      <c r="H184" s="215"/>
      <c r="I184" s="503"/>
      <c r="J184" s="504"/>
      <c r="K184" s="504"/>
      <c r="L184" s="504"/>
      <c r="M184" s="504"/>
      <c r="N184" s="504"/>
      <c r="O184" s="504"/>
      <c r="P184" s="504"/>
      <c r="Q184" s="504"/>
      <c r="R184" s="504"/>
      <c r="S184" s="504"/>
      <c r="T184" s="504"/>
      <c r="U184" s="504"/>
      <c r="V184" s="504"/>
      <c r="W184" s="505"/>
      <c r="X184" s="153"/>
      <c r="Y184" s="194"/>
    </row>
    <row r="185" spans="1:25" ht="21.95" customHeight="1" x14ac:dyDescent="0.2">
      <c r="A185" s="290" t="s">
        <v>283</v>
      </c>
      <c r="B185" s="282" t="str">
        <f ca="1">IF(B182&gt;0,0,IF(B183&lt;1,"",2))</f>
        <v/>
      </c>
      <c r="C185" s="281"/>
      <c r="D185" s="281"/>
      <c r="E185" s="281"/>
      <c r="F185" s="281"/>
      <c r="G185" s="281"/>
      <c r="H185" s="215"/>
      <c r="I185" s="503"/>
      <c r="J185" s="504"/>
      <c r="K185" s="504"/>
      <c r="L185" s="504"/>
      <c r="M185" s="504"/>
      <c r="N185" s="504"/>
      <c r="O185" s="504"/>
      <c r="P185" s="504"/>
      <c r="Q185" s="504"/>
      <c r="R185" s="504"/>
      <c r="S185" s="504"/>
      <c r="T185" s="504"/>
      <c r="U185" s="504"/>
      <c r="V185" s="504"/>
      <c r="W185" s="505"/>
      <c r="X185" s="153"/>
      <c r="Y185" s="194"/>
    </row>
    <row r="186" spans="1:25" ht="21.95" customHeight="1" x14ac:dyDescent="0.2">
      <c r="A186" s="290" t="s">
        <v>284</v>
      </c>
      <c r="B186" s="293" t="s">
        <v>2630</v>
      </c>
      <c r="C186" s="281"/>
      <c r="D186" s="281"/>
      <c r="E186" s="281"/>
      <c r="F186" s="281"/>
      <c r="G186" s="281"/>
      <c r="H186" s="215"/>
      <c r="I186" s="503"/>
      <c r="J186" s="504"/>
      <c r="K186" s="504"/>
      <c r="L186" s="504"/>
      <c r="M186" s="504"/>
      <c r="N186" s="504"/>
      <c r="O186" s="504"/>
      <c r="P186" s="504"/>
      <c r="Q186" s="504"/>
      <c r="R186" s="504"/>
      <c r="S186" s="504"/>
      <c r="T186" s="504"/>
      <c r="U186" s="504"/>
      <c r="V186" s="504"/>
      <c r="W186" s="505"/>
      <c r="X186" s="153"/>
      <c r="Y186" s="194"/>
    </row>
    <row r="187" spans="1:25" ht="21.95" customHeight="1" x14ac:dyDescent="0.2">
      <c r="A187" s="294" t="s">
        <v>2356</v>
      </c>
      <c r="B187" s="282">
        <v>0</v>
      </c>
      <c r="C187" s="281" t="s">
        <v>2462</v>
      </c>
      <c r="D187" s="281"/>
      <c r="E187" s="281"/>
      <c r="F187" s="281"/>
      <c r="G187" s="281"/>
      <c r="H187" s="215"/>
      <c r="I187" s="506"/>
      <c r="J187" s="507"/>
      <c r="K187" s="507"/>
      <c r="L187" s="507"/>
      <c r="M187" s="507"/>
      <c r="N187" s="507"/>
      <c r="O187" s="507"/>
      <c r="P187" s="507"/>
      <c r="Q187" s="507"/>
      <c r="R187" s="507"/>
      <c r="S187" s="507"/>
      <c r="T187" s="507"/>
      <c r="U187" s="507"/>
      <c r="V187" s="507"/>
      <c r="W187" s="508"/>
      <c r="X187" s="153"/>
      <c r="Y187" s="194"/>
    </row>
    <row r="188" spans="1:25" ht="21.95" customHeight="1" x14ac:dyDescent="0.2">
      <c r="A188" s="294" t="s">
        <v>2357</v>
      </c>
      <c r="B188" s="282" t="b">
        <f>(B187&gt;0)</f>
        <v>0</v>
      </c>
      <c r="C188" s="281"/>
      <c r="D188" s="281"/>
      <c r="E188" s="281"/>
      <c r="F188" s="281"/>
      <c r="G188" s="281"/>
      <c r="H188" s="215"/>
      <c r="I188" s="627" t="s">
        <v>3464</v>
      </c>
      <c r="J188" s="627"/>
      <c r="K188" s="627"/>
      <c r="L188" s="627"/>
      <c r="M188" s="627"/>
      <c r="N188" s="627"/>
      <c r="O188" s="627"/>
      <c r="P188" s="627"/>
      <c r="Q188" s="627"/>
      <c r="R188" s="627"/>
      <c r="S188" s="627"/>
      <c r="T188" s="627"/>
      <c r="U188" s="627"/>
      <c r="V188" s="627"/>
      <c r="W188" s="627"/>
      <c r="X188" s="153"/>
      <c r="Y188" s="194"/>
    </row>
    <row r="189" spans="1:25" ht="21.95" customHeight="1" x14ac:dyDescent="0.2">
      <c r="A189" s="285" t="s">
        <v>288</v>
      </c>
      <c r="B189" s="305" t="s">
        <v>2687</v>
      </c>
      <c r="C189" s="287"/>
      <c r="D189" s="287"/>
      <c r="E189" s="287"/>
      <c r="F189" s="287"/>
      <c r="G189" s="172" t="str">
        <f>B208</f>
        <v>Member Involvement</v>
      </c>
      <c r="H189" s="215"/>
      <c r="I189" s="737"/>
      <c r="J189" s="737"/>
      <c r="K189" s="737"/>
      <c r="L189" s="737"/>
      <c r="M189" s="737"/>
      <c r="N189" s="737"/>
      <c r="O189" s="737"/>
      <c r="P189" s="737"/>
      <c r="Q189" s="737"/>
      <c r="R189" s="737"/>
      <c r="S189" s="737"/>
      <c r="T189" s="737"/>
      <c r="U189" s="737"/>
      <c r="V189" s="737"/>
      <c r="W189" s="737"/>
      <c r="X189" s="153"/>
      <c r="Y189" s="194"/>
    </row>
    <row r="190" spans="1:25" ht="21.95" customHeight="1" x14ac:dyDescent="0.2">
      <c r="A190" s="273" t="s">
        <v>2688</v>
      </c>
      <c r="B190" s="288" t="str">
        <f>IF(W229="","",IF(UPPER(W229)="YES",TRUE,FALSE))</f>
        <v/>
      </c>
      <c r="C190" s="281">
        <f ca="1">VLOOKUP(A190,DB_TBL_DATA_FIELDS[[FIELD_ID]:[PCT_CALC_FIELD_STATUS_CODE]],22,FALSE)</f>
        <v>1</v>
      </c>
      <c r="D190" s="281" t="str">
        <f>IF(VLOOKUP(A190,DB_TBL_DATA_FIELDS[[FIELD_ID]:[ERROR_MESSAGE]],23,FALSE)&lt;&gt;0,VLOOKUP(A190,DB_TBL_DATA_FIELDS[[FIELD_ID]:[ERROR_MESSAGE]],23,FALSE),"")</f>
        <v/>
      </c>
      <c r="E190" s="281">
        <f>VLOOKUP(A190,DB_TBL_DATA_FIELDS[[#All],[FIELD_ID]:[RANGE_VALIDATION_MAX]],18,FALSE)</f>
        <v>0</v>
      </c>
      <c r="F190" s="281">
        <f>VLOOKUP(A190,DB_TBL_DATA_FIELDS[[#All],[FIELD_ID]:[RANGE_VALIDATION_MAX]],19,FALSE)</f>
        <v>1</v>
      </c>
      <c r="G190" s="281">
        <f t="shared" ref="G190:G200" ca="1" si="23">IF(C190&lt;0,"",C190)</f>
        <v>1</v>
      </c>
      <c r="H190" s="215"/>
      <c r="I190" s="737"/>
      <c r="J190" s="737"/>
      <c r="K190" s="737"/>
      <c r="L190" s="737"/>
      <c r="M190" s="737"/>
      <c r="N190" s="737"/>
      <c r="O190" s="737"/>
      <c r="P190" s="737"/>
      <c r="Q190" s="737"/>
      <c r="R190" s="737"/>
      <c r="S190" s="737"/>
      <c r="T190" s="737"/>
      <c r="U190" s="737"/>
      <c r="V190" s="737"/>
      <c r="W190" s="737"/>
      <c r="X190" s="202"/>
      <c r="Y190" s="194"/>
    </row>
    <row r="191" spans="1:25" ht="21.95" customHeight="1" x14ac:dyDescent="0.2">
      <c r="A191" s="273" t="s">
        <v>2689</v>
      </c>
      <c r="B191" s="288" t="str">
        <f>IF(W230="","",IF(UPPER(W230)="YES",TRUE,FALSE))</f>
        <v/>
      </c>
      <c r="C191" s="281">
        <f ca="1">VLOOKUP(A191,DB_TBL_DATA_FIELDS[[FIELD_ID]:[PCT_CALC_FIELD_STATUS_CODE]],22,FALSE)</f>
        <v>1</v>
      </c>
      <c r="D191" s="281" t="str">
        <f>IF(VLOOKUP(A191,DB_TBL_DATA_FIELDS[[FIELD_ID]:[ERROR_MESSAGE]],23,FALSE)&lt;&gt;0,VLOOKUP(A191,DB_TBL_DATA_FIELDS[[FIELD_ID]:[ERROR_MESSAGE]],23,FALSE),"")</f>
        <v/>
      </c>
      <c r="E191" s="281">
        <f>VLOOKUP(A191,DB_TBL_DATA_FIELDS[[#All],[FIELD_ID]:[RANGE_VALIDATION_MAX]],18,FALSE)</f>
        <v>0</v>
      </c>
      <c r="F191" s="281">
        <f>VLOOKUP(A191,DB_TBL_DATA_FIELDS[[#All],[FIELD_ID]:[RANGE_VALIDATION_MAX]],19,FALSE)</f>
        <v>1</v>
      </c>
      <c r="G191" s="281">
        <f t="shared" ca="1" si="23"/>
        <v>1</v>
      </c>
      <c r="H191" s="215"/>
      <c r="I191" s="737"/>
      <c r="J191" s="737"/>
      <c r="K191" s="737"/>
      <c r="L191" s="737"/>
      <c r="M191" s="737"/>
      <c r="N191" s="737"/>
      <c r="O191" s="737"/>
      <c r="P191" s="737"/>
      <c r="Q191" s="737"/>
      <c r="R191" s="737"/>
      <c r="S191" s="737"/>
      <c r="T191" s="737"/>
      <c r="U191" s="737"/>
      <c r="V191" s="737"/>
      <c r="W191" s="737"/>
      <c r="X191" s="202"/>
      <c r="Y191" s="194"/>
    </row>
    <row r="192" spans="1:25" ht="21.95" customHeight="1" x14ac:dyDescent="0.2">
      <c r="A192" s="273" t="s">
        <v>2690</v>
      </c>
      <c r="B192" s="288" t="str">
        <f>IF(W231="","",IF(UPPER(W231)="YES",TRUE,FALSE))</f>
        <v/>
      </c>
      <c r="C192" s="281">
        <f ca="1">VLOOKUP(A192,DB_TBL_DATA_FIELDS[[FIELD_ID]:[PCT_CALC_FIELD_STATUS_CODE]],22,FALSE)</f>
        <v>1</v>
      </c>
      <c r="D192" s="281" t="str">
        <f>IF(VLOOKUP(A192,DB_TBL_DATA_FIELDS[[FIELD_ID]:[ERROR_MESSAGE]],23,FALSE)&lt;&gt;0,VLOOKUP(A192,DB_TBL_DATA_FIELDS[[FIELD_ID]:[ERROR_MESSAGE]],23,FALSE),"")</f>
        <v/>
      </c>
      <c r="E192" s="281">
        <f>VLOOKUP(A192,DB_TBL_DATA_FIELDS[[#All],[FIELD_ID]:[RANGE_VALIDATION_MAX]],18,FALSE)</f>
        <v>0</v>
      </c>
      <c r="F192" s="281">
        <f>VLOOKUP(A192,DB_TBL_DATA_FIELDS[[#All],[FIELD_ID]:[RANGE_VALIDATION_MAX]],19,FALSE)</f>
        <v>1</v>
      </c>
      <c r="G192" s="281">
        <f t="shared" ca="1" si="23"/>
        <v>1</v>
      </c>
      <c r="H192" s="215"/>
      <c r="I192" s="737"/>
      <c r="J192" s="737"/>
      <c r="K192" s="737"/>
      <c r="L192" s="737"/>
      <c r="M192" s="737"/>
      <c r="N192" s="737"/>
      <c r="O192" s="737"/>
      <c r="P192" s="737"/>
      <c r="Q192" s="737"/>
      <c r="R192" s="737"/>
      <c r="S192" s="737"/>
      <c r="T192" s="737"/>
      <c r="U192" s="737"/>
      <c r="V192" s="737"/>
      <c r="W192" s="737"/>
      <c r="X192" s="202"/>
      <c r="Y192" s="194"/>
    </row>
    <row r="193" spans="1:25" ht="21.95" customHeight="1" x14ac:dyDescent="0.2">
      <c r="A193" s="273" t="s">
        <v>2691</v>
      </c>
      <c r="B193" s="288" t="str">
        <f>IF(I233&lt;&gt;"",I233,"")</f>
        <v/>
      </c>
      <c r="C193" s="281">
        <f ca="1">VLOOKUP(A193,DB_TBL_DATA_FIELDS[[FIELD_ID]:[PCT_CALC_FIELD_STATUS_CODE]],22,FALSE)</f>
        <v>-1</v>
      </c>
      <c r="D193" s="281" t="str">
        <f>IF(VLOOKUP(A193,DB_TBL_DATA_FIELDS[[FIELD_ID]:[ERROR_MESSAGE]],23,FALSE)&lt;&gt;0,VLOOKUP(A193,DB_TBL_DATA_FIELDS[[FIELD_ID]:[ERROR_MESSAGE]],23,FALSE),"")</f>
        <v/>
      </c>
      <c r="E193" s="281">
        <f>VLOOKUP(A193,DB_TBL_DATA_FIELDS[[#All],[FIELD_ID]:[RANGE_VALIDATION_MAX]],18,FALSE)</f>
        <v>0</v>
      </c>
      <c r="F193" s="281">
        <f>VLOOKUP(A193,DB_TBL_DATA_FIELDS[[#All],[FIELD_ID]:[RANGE_VALIDATION_MAX]],19,FALSE)</f>
        <v>1000</v>
      </c>
      <c r="G193" s="281" t="str">
        <f t="shared" ca="1" si="23"/>
        <v/>
      </c>
      <c r="H193" s="215"/>
      <c r="I193" s="737"/>
      <c r="J193" s="737"/>
      <c r="K193" s="737"/>
      <c r="L193" s="737"/>
      <c r="M193" s="737"/>
      <c r="N193" s="737"/>
      <c r="O193" s="737"/>
      <c r="P193" s="737"/>
      <c r="Q193" s="737"/>
      <c r="R193" s="737"/>
      <c r="S193" s="737"/>
      <c r="T193" s="737"/>
      <c r="U193" s="737"/>
      <c r="V193" s="737"/>
      <c r="W193" s="737"/>
      <c r="X193" s="202"/>
      <c r="Y193" s="194"/>
    </row>
    <row r="194" spans="1:25" ht="21.95" customHeight="1" x14ac:dyDescent="0.2">
      <c r="A194" s="273" t="s">
        <v>2692</v>
      </c>
      <c r="B194" s="288" t="str">
        <f>IF(W241="","",IF(UPPER(W241)="YES",TRUE,FALSE))</f>
        <v/>
      </c>
      <c r="C194" s="281">
        <f ca="1">VLOOKUP(A194,DB_TBL_DATA_FIELDS[[FIELD_ID]:[PCT_CALC_FIELD_STATUS_CODE]],22,FALSE)</f>
        <v>1</v>
      </c>
      <c r="D194" s="281" t="str">
        <f>IF(VLOOKUP(A194,DB_TBL_DATA_FIELDS[[FIELD_ID]:[ERROR_MESSAGE]],23,FALSE)&lt;&gt;0,VLOOKUP(A194,DB_TBL_DATA_FIELDS[[FIELD_ID]:[ERROR_MESSAGE]],23,FALSE),"")</f>
        <v/>
      </c>
      <c r="E194" s="281">
        <f>VLOOKUP(A194,DB_TBL_DATA_FIELDS[[#All],[FIELD_ID]:[RANGE_VALIDATION_MAX]],18,FALSE)</f>
        <v>0</v>
      </c>
      <c r="F194" s="281">
        <f>VLOOKUP(A194,DB_TBL_DATA_FIELDS[[#All],[FIELD_ID]:[RANGE_VALIDATION_MAX]],19,FALSE)</f>
        <v>1</v>
      </c>
      <c r="G194" s="281">
        <f t="shared" ca="1" si="23"/>
        <v>1</v>
      </c>
      <c r="H194" s="215"/>
      <c r="I194" s="310"/>
      <c r="J194" s="310"/>
      <c r="K194" s="310"/>
      <c r="L194" s="310"/>
      <c r="M194" s="310"/>
      <c r="N194" s="310"/>
      <c r="O194" s="310"/>
      <c r="P194" s="310"/>
      <c r="Q194" s="310"/>
      <c r="R194" s="310"/>
      <c r="S194" s="310"/>
      <c r="T194" s="310"/>
      <c r="U194" s="310"/>
      <c r="V194" s="310"/>
      <c r="W194" s="310"/>
      <c r="X194" s="202"/>
      <c r="Y194" s="194"/>
    </row>
    <row r="195" spans="1:25" ht="21.95" customHeight="1" thickBot="1" x14ac:dyDescent="0.25">
      <c r="A195" s="273" t="s">
        <v>2693</v>
      </c>
      <c r="B195" s="288" t="str">
        <f>IF(W242="","",IF(UPPER(W242)="YES",TRUE,FALSE))</f>
        <v/>
      </c>
      <c r="C195" s="281">
        <f ca="1">VLOOKUP(A195,DB_TBL_DATA_FIELDS[[FIELD_ID]:[PCT_CALC_FIELD_STATUS_CODE]],22,FALSE)</f>
        <v>-1</v>
      </c>
      <c r="D195" s="281" t="str">
        <f>IF(VLOOKUP(A195,DB_TBL_DATA_FIELDS[[FIELD_ID]:[ERROR_MESSAGE]],23,FALSE)&lt;&gt;0,VLOOKUP(A195,DB_TBL_DATA_FIELDS[[FIELD_ID]:[ERROR_MESSAGE]],23,FALSE),"")</f>
        <v/>
      </c>
      <c r="E195" s="281">
        <f>VLOOKUP(A195,DB_TBL_DATA_FIELDS[[#All],[FIELD_ID]:[RANGE_VALIDATION_MAX]],18,FALSE)</f>
        <v>0</v>
      </c>
      <c r="F195" s="281">
        <f>VLOOKUP(A195,DB_TBL_DATA_FIELDS[[#All],[FIELD_ID]:[RANGE_VALIDATION_MAX]],19,FALSE)</f>
        <v>1</v>
      </c>
      <c r="G195" s="281" t="str">
        <f t="shared" ca="1" si="23"/>
        <v/>
      </c>
      <c r="H195" s="215"/>
      <c r="I195" s="216" t="s">
        <v>2596</v>
      </c>
      <c r="J195" s="222"/>
      <c r="K195" s="222"/>
      <c r="L195" s="222"/>
      <c r="M195" s="222"/>
      <c r="N195" s="222"/>
      <c r="O195" s="222"/>
      <c r="P195" s="217"/>
      <c r="Q195" s="223"/>
      <c r="R195" s="217"/>
      <c r="S195" s="223"/>
      <c r="T195" s="217"/>
      <c r="U195" s="223"/>
      <c r="V195" s="217"/>
      <c r="W195" s="223"/>
      <c r="X195" s="153"/>
      <c r="Y195" s="194"/>
    </row>
    <row r="196" spans="1:25" ht="21.95" customHeight="1" thickTop="1" x14ac:dyDescent="0.2">
      <c r="A196" s="273" t="s">
        <v>2694</v>
      </c>
      <c r="B196" s="288" t="str">
        <f>IF(W243="","",IF(UPPER(W243)="YES",TRUE,FALSE))</f>
        <v/>
      </c>
      <c r="C196" s="281">
        <f ca="1">VLOOKUP(A196,DB_TBL_DATA_FIELDS[[FIELD_ID]:[PCT_CALC_FIELD_STATUS_CODE]],22,FALSE)</f>
        <v>-1</v>
      </c>
      <c r="D196" s="281" t="str">
        <f>IF(VLOOKUP(A196,DB_TBL_DATA_FIELDS[[FIELD_ID]:[ERROR_MESSAGE]],23,FALSE)&lt;&gt;0,VLOOKUP(A196,DB_TBL_DATA_FIELDS[[FIELD_ID]:[ERROR_MESSAGE]],23,FALSE),"")</f>
        <v/>
      </c>
      <c r="E196" s="281">
        <f>VLOOKUP(A196,DB_TBL_DATA_FIELDS[[#All],[FIELD_ID]:[RANGE_VALIDATION_MAX]],18,FALSE)</f>
        <v>0</v>
      </c>
      <c r="F196" s="281">
        <f>VLOOKUP(A196,DB_TBL_DATA_FIELDS[[#All],[FIELD_ID]:[RANGE_VALIDATION_MAX]],19,FALSE)</f>
        <v>1</v>
      </c>
      <c r="G196" s="281" t="str">
        <f t="shared" ca="1" si="23"/>
        <v/>
      </c>
      <c r="H196" s="215"/>
      <c r="I196" s="225" t="s">
        <v>3540</v>
      </c>
      <c r="J196" s="204"/>
      <c r="K196" s="204"/>
      <c r="L196" s="204"/>
      <c r="M196" s="204"/>
      <c r="N196" s="204"/>
      <c r="O196" s="204"/>
      <c r="P196" s="204"/>
      <c r="Q196" s="204"/>
      <c r="R196" s="204"/>
      <c r="S196" s="204"/>
      <c r="T196" s="204"/>
      <c r="U196" s="204"/>
      <c r="V196" s="204"/>
      <c r="W196" s="204"/>
      <c r="X196" s="455"/>
      <c r="Y196" s="194"/>
    </row>
    <row r="197" spans="1:25" ht="21.95" customHeight="1" x14ac:dyDescent="0.2">
      <c r="A197" s="273" t="s">
        <v>2695</v>
      </c>
      <c r="B197" s="288" t="str">
        <f>IF(W244="","",IF(UPPER(W244)="YES",TRUE,FALSE))</f>
        <v/>
      </c>
      <c r="C197" s="281">
        <f ca="1">VLOOKUP(A197,DB_TBL_DATA_FIELDS[[FIELD_ID]:[PCT_CALC_FIELD_STATUS_CODE]],22,FALSE)</f>
        <v>-1</v>
      </c>
      <c r="D197" s="281" t="str">
        <f>IF(VLOOKUP(A197,DB_TBL_DATA_FIELDS[[FIELD_ID]:[ERROR_MESSAGE]],23,FALSE)&lt;&gt;0,VLOOKUP(A197,DB_TBL_DATA_FIELDS[[FIELD_ID]:[ERROR_MESSAGE]],23,FALSE),"")</f>
        <v/>
      </c>
      <c r="E197" s="281">
        <f>VLOOKUP(A197,DB_TBL_DATA_FIELDS[[#All],[FIELD_ID]:[RANGE_VALIDATION_MAX]],18,FALSE)</f>
        <v>0</v>
      </c>
      <c r="F197" s="281">
        <f>VLOOKUP(A197,DB_TBL_DATA_FIELDS[[#All],[FIELD_ID]:[RANGE_VALIDATION_MAX]],19,FALSE)</f>
        <v>1</v>
      </c>
      <c r="G197" s="281" t="str">
        <f t="shared" ca="1" si="23"/>
        <v/>
      </c>
      <c r="H197" s="215"/>
      <c r="I197" s="204" t="s">
        <v>3541</v>
      </c>
      <c r="J197" s="204"/>
      <c r="K197" s="204"/>
      <c r="L197" s="204"/>
      <c r="M197" s="204"/>
      <c r="N197" s="204"/>
      <c r="O197" s="204"/>
      <c r="P197" s="204"/>
      <c r="Q197" s="204"/>
      <c r="R197" s="204"/>
      <c r="S197" s="204"/>
      <c r="T197" s="204"/>
      <c r="U197" s="204"/>
      <c r="V197" s="204"/>
      <c r="W197" s="175" t="str">
        <f>SUBSTITUTE(SUBSTITUTE(SUBSTITUTE(IF(LEN(B157)&gt;F157,CONFIG_CHAR_LIMIT_TEMPLATE_ERR,CONFIG_CHAR_LIMIT_TEMPLATE),"[diff]",ABS(LEN(B157)-F157)),"[limit]",F157),"[used]",LEN(B157))</f>
        <v>2000 character(s) remaining</v>
      </c>
      <c r="X197" s="660"/>
      <c r="Y197" s="194"/>
    </row>
    <row r="198" spans="1:25" ht="21.95" customHeight="1" x14ac:dyDescent="0.2">
      <c r="A198" s="273" t="s">
        <v>2696</v>
      </c>
      <c r="B198" s="288" t="str">
        <f>IF(W246="","",IF(UPPER(W246)="YES",TRUE,FALSE))</f>
        <v/>
      </c>
      <c r="C198" s="281">
        <f ca="1">VLOOKUP(A198,DB_TBL_DATA_FIELDS[[FIELD_ID]:[PCT_CALC_FIELD_STATUS_CODE]],22,FALSE)</f>
        <v>1</v>
      </c>
      <c r="D198" s="281" t="str">
        <f>IF(VLOOKUP(A198,DB_TBL_DATA_FIELDS[[FIELD_ID]:[ERROR_MESSAGE]],23,FALSE)&lt;&gt;0,VLOOKUP(A198,DB_TBL_DATA_FIELDS[[FIELD_ID]:[ERROR_MESSAGE]],23,FALSE),"")</f>
        <v/>
      </c>
      <c r="E198" s="281">
        <f>VLOOKUP(A198,DB_TBL_DATA_FIELDS[[#All],[FIELD_ID]:[RANGE_VALIDATION_MAX]],18,FALSE)</f>
        <v>0</v>
      </c>
      <c r="F198" s="281">
        <f>VLOOKUP(A198,DB_TBL_DATA_FIELDS[[#All],[FIELD_ID]:[RANGE_VALIDATION_MAX]],19,FALSE)</f>
        <v>1</v>
      </c>
      <c r="G198" s="281">
        <f t="shared" ca="1" si="23"/>
        <v>1</v>
      </c>
      <c r="H198" s="215"/>
      <c r="I198" s="500"/>
      <c r="J198" s="501"/>
      <c r="K198" s="501"/>
      <c r="L198" s="501"/>
      <c r="M198" s="501"/>
      <c r="N198" s="501"/>
      <c r="O198" s="501"/>
      <c r="P198" s="501"/>
      <c r="Q198" s="501"/>
      <c r="R198" s="501"/>
      <c r="S198" s="501"/>
      <c r="T198" s="501"/>
      <c r="U198" s="501"/>
      <c r="V198" s="501"/>
      <c r="W198" s="502"/>
      <c r="X198" s="165">
        <f ca="1">G157</f>
        <v>1</v>
      </c>
      <c r="Y198" s="194"/>
    </row>
    <row r="199" spans="1:25" ht="21.95" customHeight="1" x14ac:dyDescent="0.2">
      <c r="A199" s="273" t="s">
        <v>2697</v>
      </c>
      <c r="B199" s="288" t="str">
        <f>IF(W248="","",IF(UPPER(W248)="YES",TRUE,FALSE))</f>
        <v/>
      </c>
      <c r="C199" s="281">
        <f ca="1">VLOOKUP(A199,DB_TBL_DATA_FIELDS[[FIELD_ID]:[PCT_CALC_FIELD_STATUS_CODE]],22,FALSE)</f>
        <v>1</v>
      </c>
      <c r="D199" s="281" t="str">
        <f>IF(VLOOKUP(A199,DB_TBL_DATA_FIELDS[[FIELD_ID]:[ERROR_MESSAGE]],23,FALSE)&lt;&gt;0,VLOOKUP(A199,DB_TBL_DATA_FIELDS[[FIELD_ID]:[ERROR_MESSAGE]],23,FALSE),"")</f>
        <v/>
      </c>
      <c r="E199" s="281">
        <f>VLOOKUP(A199,DB_TBL_DATA_FIELDS[[#All],[FIELD_ID]:[RANGE_VALIDATION_MAX]],18,FALSE)</f>
        <v>0</v>
      </c>
      <c r="F199" s="281">
        <f>VLOOKUP(A199,DB_TBL_DATA_FIELDS[[#All],[FIELD_ID]:[RANGE_VALIDATION_MAX]],19,FALSE)</f>
        <v>1</v>
      </c>
      <c r="G199" s="281">
        <f t="shared" ca="1" si="23"/>
        <v>1</v>
      </c>
      <c r="H199" s="215"/>
      <c r="I199" s="503"/>
      <c r="J199" s="504"/>
      <c r="K199" s="504"/>
      <c r="L199" s="504"/>
      <c r="M199" s="504"/>
      <c r="N199" s="504"/>
      <c r="O199" s="504"/>
      <c r="P199" s="504"/>
      <c r="Q199" s="504"/>
      <c r="R199" s="504"/>
      <c r="S199" s="504"/>
      <c r="T199" s="504"/>
      <c r="U199" s="504"/>
      <c r="V199" s="504"/>
      <c r="W199" s="505"/>
      <c r="X199" s="153"/>
      <c r="Y199" s="194"/>
    </row>
    <row r="200" spans="1:25" ht="21.95" customHeight="1" x14ac:dyDescent="0.2">
      <c r="A200" s="273" t="s">
        <v>2699</v>
      </c>
      <c r="B200" s="288" t="str">
        <f>IF(W250="","",IF(UPPER(W250)="YES",TRUE,FALSE))</f>
        <v/>
      </c>
      <c r="C200" s="281">
        <f ca="1">VLOOKUP(A200,DB_TBL_DATA_FIELDS[[FIELD_ID]:[PCT_CALC_FIELD_STATUS_CODE]],22,FALSE)</f>
        <v>1</v>
      </c>
      <c r="D200" s="281" t="str">
        <f>IF(VLOOKUP(A200,DB_TBL_DATA_FIELDS[[FIELD_ID]:[ERROR_MESSAGE]],23,FALSE)&lt;&gt;0,VLOOKUP(A200,DB_TBL_DATA_FIELDS[[FIELD_ID]:[ERROR_MESSAGE]],23,FALSE),"")</f>
        <v/>
      </c>
      <c r="E200" s="281">
        <f>VLOOKUP(A200,DB_TBL_DATA_FIELDS[[#All],[FIELD_ID]:[RANGE_VALIDATION_MAX]],18,FALSE)</f>
        <v>0</v>
      </c>
      <c r="F200" s="281">
        <f>VLOOKUP(A200,DB_TBL_DATA_FIELDS[[#All],[FIELD_ID]:[RANGE_VALIDATION_MAX]],19,FALSE)</f>
        <v>1</v>
      </c>
      <c r="G200" s="281">
        <f t="shared" ca="1" si="23"/>
        <v>1</v>
      </c>
      <c r="H200" s="215"/>
      <c r="I200" s="503"/>
      <c r="J200" s="504"/>
      <c r="K200" s="504"/>
      <c r="L200" s="504"/>
      <c r="M200" s="504"/>
      <c r="N200" s="504"/>
      <c r="O200" s="504"/>
      <c r="P200" s="504"/>
      <c r="Q200" s="504"/>
      <c r="R200" s="504"/>
      <c r="S200" s="504"/>
      <c r="T200" s="504"/>
      <c r="U200" s="504"/>
      <c r="V200" s="504"/>
      <c r="W200" s="505"/>
      <c r="X200" s="153"/>
      <c r="Y200" s="194"/>
    </row>
    <row r="201" spans="1:25" ht="21.95" customHeight="1" x14ac:dyDescent="0.2">
      <c r="A201" s="290" t="s">
        <v>289</v>
      </c>
      <c r="B201" s="282" t="str">
        <f>"C"&amp;ROW(A190)&amp;":C"&amp;(ROW()-1)</f>
        <v>C190:C200</v>
      </c>
      <c r="C201" s="281"/>
      <c r="D201" s="281"/>
      <c r="E201" s="281"/>
      <c r="F201" s="281"/>
      <c r="G201" s="281"/>
      <c r="H201" s="215"/>
      <c r="I201" s="503"/>
      <c r="J201" s="504"/>
      <c r="K201" s="504"/>
      <c r="L201" s="504"/>
      <c r="M201" s="504"/>
      <c r="N201" s="504"/>
      <c r="O201" s="504"/>
      <c r="P201" s="504"/>
      <c r="Q201" s="504"/>
      <c r="R201" s="504"/>
      <c r="S201" s="504"/>
      <c r="T201" s="504"/>
      <c r="U201" s="504"/>
      <c r="V201" s="504"/>
      <c r="W201" s="505"/>
      <c r="X201" s="153"/>
      <c r="Y201" s="194"/>
    </row>
    <row r="202" spans="1:25" ht="21.95" customHeight="1" x14ac:dyDescent="0.2">
      <c r="A202" s="290" t="s">
        <v>290</v>
      </c>
      <c r="B202" s="282">
        <f ca="1">COUNTIF(INDIRECT($B201),2)</f>
        <v>0</v>
      </c>
      <c r="C202" s="281"/>
      <c r="D202" s="281"/>
      <c r="E202" s="281"/>
      <c r="F202" s="281"/>
      <c r="G202" s="281"/>
      <c r="H202" s="215"/>
      <c r="I202" s="503"/>
      <c r="J202" s="504"/>
      <c r="K202" s="504"/>
      <c r="L202" s="504"/>
      <c r="M202" s="504"/>
      <c r="N202" s="504"/>
      <c r="O202" s="504"/>
      <c r="P202" s="504"/>
      <c r="Q202" s="504"/>
      <c r="R202" s="504"/>
      <c r="S202" s="504"/>
      <c r="T202" s="504"/>
      <c r="U202" s="504"/>
      <c r="V202" s="504"/>
      <c r="W202" s="505"/>
      <c r="X202" s="153"/>
      <c r="Y202" s="194"/>
    </row>
    <row r="203" spans="1:25" ht="21.95" customHeight="1" x14ac:dyDescent="0.2">
      <c r="A203" s="290" t="s">
        <v>291</v>
      </c>
      <c r="B203" s="282">
        <f ca="1">COUNTIF(INDIRECT($B201),0)+COUNTIF(INDIRECT($B201),1)+COUNTIF(INDIRECT($B201),2)</f>
        <v>7</v>
      </c>
      <c r="C203" s="281"/>
      <c r="D203" s="281"/>
      <c r="E203" s="281"/>
      <c r="F203" s="281"/>
      <c r="G203" s="281"/>
      <c r="H203" s="215"/>
      <c r="I203" s="503"/>
      <c r="J203" s="504"/>
      <c r="K203" s="504"/>
      <c r="L203" s="504"/>
      <c r="M203" s="504"/>
      <c r="N203" s="504"/>
      <c r="O203" s="504"/>
      <c r="P203" s="504"/>
      <c r="Q203" s="504"/>
      <c r="R203" s="504"/>
      <c r="S203" s="504"/>
      <c r="T203" s="504"/>
      <c r="U203" s="504"/>
      <c r="V203" s="504"/>
      <c r="W203" s="505"/>
      <c r="X203" s="153"/>
      <c r="Y203" s="194"/>
    </row>
    <row r="204" spans="1:25" ht="21.95" customHeight="1" x14ac:dyDescent="0.2">
      <c r="A204" s="290" t="s">
        <v>292</v>
      </c>
      <c r="B204" s="282">
        <f ca="1">COUNTIF(INDIRECT($B201),0)</f>
        <v>0</v>
      </c>
      <c r="C204" s="281" t="s">
        <v>2607</v>
      </c>
      <c r="D204" s="281"/>
      <c r="E204" s="281"/>
      <c r="F204" s="281"/>
      <c r="G204" s="281"/>
      <c r="H204" s="215"/>
      <c r="I204" s="503"/>
      <c r="J204" s="504"/>
      <c r="K204" s="504"/>
      <c r="L204" s="504"/>
      <c r="M204" s="504"/>
      <c r="N204" s="504"/>
      <c r="O204" s="504"/>
      <c r="P204" s="504"/>
      <c r="Q204" s="504"/>
      <c r="R204" s="504"/>
      <c r="S204" s="504"/>
      <c r="T204" s="504"/>
      <c r="U204" s="504"/>
      <c r="V204" s="504"/>
      <c r="W204" s="505"/>
      <c r="X204" s="153"/>
      <c r="Y204" s="194"/>
    </row>
    <row r="205" spans="1:25" ht="21.95" customHeight="1" x14ac:dyDescent="0.2">
      <c r="A205" s="290" t="s">
        <v>293</v>
      </c>
      <c r="B205" s="282">
        <f ca="1">B202/B203</f>
        <v>0</v>
      </c>
      <c r="C205" s="281"/>
      <c r="D205" s="281"/>
      <c r="E205" s="281"/>
      <c r="F205" s="281"/>
      <c r="G205" s="281"/>
      <c r="H205" s="215"/>
      <c r="I205" s="503"/>
      <c r="J205" s="504"/>
      <c r="K205" s="504"/>
      <c r="L205" s="504"/>
      <c r="M205" s="504"/>
      <c r="N205" s="504"/>
      <c r="O205" s="504"/>
      <c r="P205" s="504"/>
      <c r="Q205" s="504"/>
      <c r="R205" s="504"/>
      <c r="S205" s="504"/>
      <c r="T205" s="504"/>
      <c r="U205" s="504"/>
      <c r="V205" s="504"/>
      <c r="W205" s="505"/>
      <c r="X205" s="153"/>
      <c r="Y205" s="194"/>
    </row>
    <row r="206" spans="1:25" ht="21.95" customHeight="1" x14ac:dyDescent="0.2">
      <c r="A206" s="290" t="s">
        <v>294</v>
      </c>
      <c r="B206" s="292" t="str">
        <f ca="1">IF(B204&gt;0,"Data Error(s)",IF(B205=0,"Not Started",IF(B205&lt;1,ROUNDUP(B205*100,0)&amp;"% Done",IF(B205&gt;1,"Optional","Complete"))))</f>
        <v>Not Started</v>
      </c>
      <c r="C206" s="281"/>
      <c r="D206" s="281"/>
      <c r="E206" s="281"/>
      <c r="F206" s="281"/>
      <c r="G206" s="281"/>
      <c r="H206" s="215"/>
      <c r="I206" s="506"/>
      <c r="J206" s="507"/>
      <c r="K206" s="507"/>
      <c r="L206" s="507"/>
      <c r="M206" s="507"/>
      <c r="N206" s="507"/>
      <c r="O206" s="507"/>
      <c r="P206" s="507"/>
      <c r="Q206" s="507"/>
      <c r="R206" s="507"/>
      <c r="S206" s="507"/>
      <c r="T206" s="507"/>
      <c r="U206" s="507"/>
      <c r="V206" s="507"/>
      <c r="W206" s="508"/>
      <c r="X206" s="153"/>
      <c r="Y206" s="194"/>
    </row>
    <row r="207" spans="1:25" ht="21.95" customHeight="1" x14ac:dyDescent="0.2">
      <c r="A207" s="290" t="s">
        <v>295</v>
      </c>
      <c r="B207" s="282" t="str">
        <f ca="1">IF(B204&gt;0,0,IF(B205&lt;1,"",2))</f>
        <v/>
      </c>
      <c r="C207" s="281"/>
      <c r="D207" s="281"/>
      <c r="E207" s="281"/>
      <c r="F207" s="281"/>
      <c r="G207" s="281"/>
      <c r="H207" s="215"/>
      <c r="I207" s="194"/>
      <c r="J207" s="153"/>
      <c r="K207" s="194"/>
      <c r="L207" s="153"/>
      <c r="M207" s="194"/>
      <c r="N207" s="153"/>
      <c r="O207" s="194"/>
      <c r="P207" s="153"/>
      <c r="Q207" s="194"/>
      <c r="R207" s="153"/>
      <c r="S207" s="194"/>
      <c r="T207" s="153"/>
      <c r="U207" s="194"/>
      <c r="V207" s="153"/>
      <c r="W207" s="194"/>
      <c r="X207" s="153"/>
      <c r="Y207" s="194"/>
    </row>
    <row r="208" spans="1:25" ht="21.95" customHeight="1" thickBot="1" x14ac:dyDescent="0.25">
      <c r="A208" s="290" t="s">
        <v>296</v>
      </c>
      <c r="B208" s="293" t="s">
        <v>2687</v>
      </c>
      <c r="C208" s="281"/>
      <c r="D208" s="281"/>
      <c r="E208" s="281"/>
      <c r="F208" s="281"/>
      <c r="G208" s="281"/>
      <c r="H208" s="215"/>
      <c r="I208" s="424" t="str">
        <f>B168</f>
        <v>Timing and Use of Funds</v>
      </c>
      <c r="J208" s="269"/>
      <c r="K208" s="269"/>
      <c r="L208" s="269"/>
      <c r="M208" s="269"/>
      <c r="N208" s="269"/>
      <c r="O208" s="269"/>
      <c r="P208" s="269"/>
      <c r="Q208" s="269"/>
      <c r="R208" s="269"/>
      <c r="S208" s="269"/>
      <c r="T208" s="269"/>
      <c r="U208" s="269"/>
      <c r="V208" s="269"/>
      <c r="W208" s="269"/>
      <c r="X208" s="167" t="str">
        <f ca="1">"Status: "&amp;$B$184</f>
        <v>Status: Not Started</v>
      </c>
      <c r="Y208" s="194"/>
    </row>
    <row r="209" spans="1:25" ht="21.95" customHeight="1" x14ac:dyDescent="0.2">
      <c r="A209" s="294" t="s">
        <v>2340</v>
      </c>
      <c r="B209" s="282">
        <v>0</v>
      </c>
      <c r="C209" s="281" t="s">
        <v>2462</v>
      </c>
      <c r="D209" s="281"/>
      <c r="E209" s="281"/>
      <c r="F209" s="281"/>
      <c r="G209" s="281"/>
      <c r="H209" s="215"/>
      <c r="I209" s="194"/>
      <c r="J209" s="153"/>
      <c r="K209" s="194"/>
      <c r="L209" s="153"/>
      <c r="M209" s="194"/>
      <c r="N209" s="153"/>
      <c r="O209" s="194"/>
      <c r="P209" s="153"/>
      <c r="Q209" s="194"/>
      <c r="R209" s="153"/>
      <c r="S209" s="194"/>
      <c r="T209" s="153"/>
      <c r="U209" s="194"/>
      <c r="V209" s="153"/>
      <c r="W209" s="194"/>
      <c r="X209" s="153"/>
      <c r="Y209" s="194"/>
    </row>
    <row r="210" spans="1:25" ht="21.95" customHeight="1" x14ac:dyDescent="0.2">
      <c r="A210" s="294" t="s">
        <v>2341</v>
      </c>
      <c r="B210" s="282" t="b">
        <f>(B209&gt;0)</f>
        <v>0</v>
      </c>
      <c r="C210" s="281"/>
      <c r="D210" s="281"/>
      <c r="E210" s="281"/>
      <c r="F210" s="281"/>
      <c r="G210" s="281"/>
      <c r="H210" s="215"/>
      <c r="I210" s="194"/>
      <c r="J210" s="153"/>
      <c r="K210" s="194"/>
      <c r="L210" s="153"/>
      <c r="M210" s="194"/>
      <c r="N210" s="153"/>
      <c r="O210" s="194"/>
      <c r="P210" s="153"/>
      <c r="Q210" s="194"/>
      <c r="R210" s="153"/>
      <c r="S210" s="194"/>
      <c r="T210" s="153"/>
      <c r="U210" s="194"/>
      <c r="V210" s="153"/>
      <c r="W210" s="194"/>
      <c r="X210" s="153"/>
      <c r="Y210" s="194"/>
    </row>
    <row r="211" spans="1:25" ht="21.95" customHeight="1" x14ac:dyDescent="0.2">
      <c r="A211" s="285" t="s">
        <v>297</v>
      </c>
      <c r="B211" s="305" t="s">
        <v>2868</v>
      </c>
      <c r="C211" s="287"/>
      <c r="D211" s="287"/>
      <c r="E211" s="287"/>
      <c r="F211" s="287"/>
      <c r="G211" s="172" t="str">
        <f>B228</f>
        <v>Project Sponsor Profile</v>
      </c>
      <c r="H211" s="215"/>
      <c r="I211" s="226" t="s">
        <v>3436</v>
      </c>
      <c r="J211" s="153"/>
      <c r="K211" s="215"/>
      <c r="L211" s="153"/>
      <c r="M211" s="215"/>
      <c r="N211" s="153"/>
      <c r="O211" s="215"/>
      <c r="P211" s="153"/>
      <c r="Q211" s="215"/>
      <c r="R211" s="153"/>
      <c r="S211" s="215"/>
      <c r="T211" s="153"/>
      <c r="U211" s="615"/>
      <c r="V211" s="616"/>
      <c r="W211" s="617"/>
      <c r="X211" s="165">
        <f ca="1">G169</f>
        <v>1</v>
      </c>
      <c r="Y211" s="194"/>
    </row>
    <row r="212" spans="1:25" ht="21.95" customHeight="1" x14ac:dyDescent="0.2">
      <c r="A212" s="297" t="s">
        <v>2751</v>
      </c>
      <c r="B212" s="298"/>
      <c r="C212" s="299"/>
      <c r="D212" s="299"/>
      <c r="E212" s="299"/>
      <c r="F212" s="299"/>
      <c r="G212" s="299"/>
      <c r="H212" s="215"/>
      <c r="I212" s="226" t="s">
        <v>2653</v>
      </c>
      <c r="J212" s="153"/>
      <c r="K212" s="215"/>
      <c r="L212" s="153"/>
      <c r="M212" s="215"/>
      <c r="N212" s="153"/>
      <c r="O212" s="215"/>
      <c r="P212" s="153"/>
      <c r="Q212" s="215"/>
      <c r="R212" s="153"/>
      <c r="S212" s="215"/>
      <c r="T212" s="153"/>
      <c r="U212" s="615"/>
      <c r="V212" s="616"/>
      <c r="W212" s="617"/>
      <c r="X212" s="165">
        <f ca="1">G170</f>
        <v>1</v>
      </c>
      <c r="Y212" s="194"/>
    </row>
    <row r="213" spans="1:25" ht="21.95" customHeight="1" x14ac:dyDescent="0.2">
      <c r="A213" s="273" t="s">
        <v>2752</v>
      </c>
      <c r="B213" s="288" t="str">
        <f>IF(I257&lt;&gt;"",I257,"")</f>
        <v/>
      </c>
      <c r="C213" s="281">
        <f ca="1">VLOOKUP(A213,DB_TBL_DATA_FIELDS[[FIELD_ID]:[PCT_CALC_FIELD_STATUS_CODE]],22,FALSE)</f>
        <v>1</v>
      </c>
      <c r="D213" s="281" t="str">
        <f>IF(VLOOKUP(A213,DB_TBL_DATA_FIELDS[[FIELD_ID]:[ERROR_MESSAGE]],23,FALSE)&lt;&gt;0,VLOOKUP(A213,DB_TBL_DATA_FIELDS[[FIELD_ID]:[ERROR_MESSAGE]],23,FALSE),"")</f>
        <v/>
      </c>
      <c r="E213" s="281">
        <f>VLOOKUP(A213,DB_TBL_DATA_FIELDS[[#All],[FIELD_ID]:[RANGE_VALIDATION_MAX]],18,FALSE)</f>
        <v>0</v>
      </c>
      <c r="F213" s="281">
        <f>VLOOKUP(A213,DB_TBL_DATA_FIELDS[[#All],[FIELD_ID]:[RANGE_VALIDATION_MAX]],19,FALSE)</f>
        <v>32767</v>
      </c>
      <c r="G213" s="281">
        <f t="shared" ref="G213:G220" ca="1" si="24">IF(C213&lt;0,"",C213)</f>
        <v>1</v>
      </c>
      <c r="H213" s="215"/>
      <c r="I213" s="226" t="s">
        <v>2654</v>
      </c>
      <c r="J213" s="153"/>
      <c r="K213" s="194"/>
      <c r="L213" s="153"/>
      <c r="M213" s="194"/>
      <c r="N213" s="153"/>
      <c r="O213" s="194"/>
      <c r="P213" s="153"/>
      <c r="Q213" s="194"/>
      <c r="R213" s="153"/>
      <c r="S213" s="194"/>
      <c r="T213" s="153"/>
      <c r="U213" s="194"/>
      <c r="V213" s="153"/>
      <c r="W213" s="316"/>
      <c r="X213" s="165">
        <f ca="1">G171</f>
        <v>1</v>
      </c>
      <c r="Y213" s="194"/>
    </row>
    <row r="214" spans="1:25" ht="21.95" customHeight="1" x14ac:dyDescent="0.2">
      <c r="A214" s="297" t="s">
        <v>2753</v>
      </c>
      <c r="B214" s="298"/>
      <c r="C214" s="299"/>
      <c r="D214" s="299"/>
      <c r="E214" s="299"/>
      <c r="F214" s="299"/>
      <c r="G214" s="299"/>
      <c r="H214" s="215"/>
      <c r="I214" s="606" t="s">
        <v>2658</v>
      </c>
      <c r="J214" s="607"/>
      <c r="K214" s="607"/>
      <c r="L214" s="607"/>
      <c r="M214" s="607"/>
      <c r="N214" s="607"/>
      <c r="O214" s="607"/>
      <c r="P214" s="607"/>
      <c r="Q214" s="607"/>
      <c r="R214" s="607"/>
      <c r="S214" s="607"/>
      <c r="T214" s="607"/>
      <c r="U214" s="607"/>
      <c r="V214" s="607"/>
      <c r="W214" s="607"/>
      <c r="X214" s="165"/>
      <c r="Y214" s="194"/>
    </row>
    <row r="215" spans="1:25" ht="21.95" customHeight="1" x14ac:dyDescent="0.2">
      <c r="A215" s="273" t="s">
        <v>2754</v>
      </c>
      <c r="B215" s="288" t="str">
        <f>IF(I275&lt;&gt;"",I275,"")</f>
        <v/>
      </c>
      <c r="C215" s="281">
        <f ca="1">VLOOKUP(A215,DB_TBL_DATA_FIELDS[[FIELD_ID]:[PCT_CALC_FIELD_STATUS_CODE]],22,FALSE)</f>
        <v>1</v>
      </c>
      <c r="D215" s="281" t="str">
        <f>IF(VLOOKUP(A215,DB_TBL_DATA_FIELDS[[FIELD_ID]:[ERROR_MESSAGE]],23,FALSE)&lt;&gt;0,VLOOKUP(A215,DB_TBL_DATA_FIELDS[[FIELD_ID]:[ERROR_MESSAGE]],23,FALSE),"")</f>
        <v/>
      </c>
      <c r="E215" s="281">
        <f>VLOOKUP(A215,DB_TBL_DATA_FIELDS[[#All],[FIELD_ID]:[RANGE_VALIDATION_MAX]],18,FALSE)</f>
        <v>0</v>
      </c>
      <c r="F215" s="281">
        <f>VLOOKUP(A215,DB_TBL_DATA_FIELDS[[#All],[FIELD_ID]:[RANGE_VALIDATION_MAX]],19,FALSE)</f>
        <v>2000</v>
      </c>
      <c r="G215" s="281">
        <f t="shared" ca="1" si="24"/>
        <v>1</v>
      </c>
      <c r="H215" s="215"/>
      <c r="I215" s="215"/>
      <c r="J215" s="153"/>
      <c r="K215" s="194"/>
      <c r="L215" s="153"/>
      <c r="M215" s="194"/>
      <c r="N215" s="153"/>
      <c r="O215" s="194"/>
      <c r="P215" s="153"/>
      <c r="Q215" s="194"/>
      <c r="R215" s="153"/>
      <c r="S215" s="194"/>
      <c r="T215" s="153"/>
      <c r="U215" s="194"/>
      <c r="V215" s="153"/>
      <c r="W215" s="194"/>
      <c r="X215" s="153"/>
      <c r="Y215" s="194"/>
    </row>
    <row r="216" spans="1:25" ht="21.95" customHeight="1" x14ac:dyDescent="0.2">
      <c r="A216" s="273" t="s">
        <v>3735</v>
      </c>
      <c r="B216" s="288" t="str">
        <f>IF(W263="","",IF(UPPER(W263)="YES",TRUE,FALSE))</f>
        <v/>
      </c>
      <c r="C216" s="281">
        <f ca="1">VLOOKUP(A216,DB_TBL_DATA_FIELDS[[FIELD_ID]:[PCT_CALC_FIELD_STATUS_CODE]],22,FALSE)</f>
        <v>1</v>
      </c>
      <c r="D216" s="281" t="str">
        <f ca="1">IF(VLOOKUP(A216,DB_TBL_DATA_FIELDS[[FIELD_ID]:[ERROR_MESSAGE]],23,FALSE)&lt;&gt;0,VLOOKUP(A216,DB_TBL_DATA_FIELDS[[FIELD_ID]:[ERROR_MESSAGE]],23,FALSE),"")</f>
        <v/>
      </c>
      <c r="E216" s="281">
        <f>VLOOKUP(A216,DB_TBL_DATA_FIELDS[[#All],[FIELD_ID]:[RANGE_VALIDATION_MAX]],18,FALSE)</f>
        <v>0</v>
      </c>
      <c r="F216" s="281">
        <f>VLOOKUP(A216,DB_TBL_DATA_FIELDS[[#All],[FIELD_ID]:[RANGE_VALIDATION_MAX]],19,FALSE)</f>
        <v>1</v>
      </c>
      <c r="G216" s="281">
        <f t="shared" ref="G216:G217" ca="1" si="25">IF(C216&lt;0,"",C216)</f>
        <v>1</v>
      </c>
      <c r="H216" s="215"/>
      <c r="I216" s="226" t="s">
        <v>3618</v>
      </c>
      <c r="J216" s="153"/>
      <c r="K216" s="215"/>
      <c r="L216" s="153"/>
      <c r="M216" s="215"/>
      <c r="N216" s="153"/>
      <c r="O216" s="215"/>
      <c r="P216" s="153"/>
      <c r="Q216" s="215"/>
      <c r="R216" s="153"/>
      <c r="S216" s="215"/>
      <c r="T216" s="153"/>
      <c r="U216" s="724"/>
      <c r="V216" s="725"/>
      <c r="W216" s="726"/>
      <c r="X216" s="165">
        <f ca="1">G172</f>
        <v>1</v>
      </c>
      <c r="Y216" s="194"/>
    </row>
    <row r="217" spans="1:25" ht="21.95" customHeight="1" x14ac:dyDescent="0.2">
      <c r="A217" s="273" t="s">
        <v>3736</v>
      </c>
      <c r="B217" s="288" t="str">
        <f>IF(W271="","",IF(UPPER(W271)="YES",TRUE,FALSE))</f>
        <v/>
      </c>
      <c r="C217" s="281">
        <f ca="1">VLOOKUP(A217,DB_TBL_DATA_FIELDS[[FIELD_ID]:[PCT_CALC_FIELD_STATUS_CODE]],22,FALSE)</f>
        <v>1</v>
      </c>
      <c r="D217" s="281" t="str">
        <f>IF(VLOOKUP(A217,DB_TBL_DATA_FIELDS[[FIELD_ID]:[ERROR_MESSAGE]],23,FALSE)&lt;&gt;0,VLOOKUP(A217,DB_TBL_DATA_FIELDS[[FIELD_ID]:[ERROR_MESSAGE]],23,FALSE),"")</f>
        <v/>
      </c>
      <c r="E217" s="281">
        <f>VLOOKUP(A217,DB_TBL_DATA_FIELDS[[#All],[FIELD_ID]:[RANGE_VALIDATION_MAX]],18,FALSE)</f>
        <v>0</v>
      </c>
      <c r="F217" s="281">
        <f>VLOOKUP(A217,DB_TBL_DATA_FIELDS[[#All],[FIELD_ID]:[RANGE_VALIDATION_MAX]],19,FALSE)</f>
        <v>1</v>
      </c>
      <c r="G217" s="281">
        <f t="shared" ca="1" si="25"/>
        <v>1</v>
      </c>
      <c r="H217" s="215"/>
      <c r="I217" s="226" t="s">
        <v>3619</v>
      </c>
      <c r="J217" s="153"/>
      <c r="K217" s="215"/>
      <c r="L217" s="153"/>
      <c r="M217" s="215"/>
      <c r="N217" s="153"/>
      <c r="O217" s="215"/>
      <c r="P217" s="153"/>
      <c r="Q217" s="215"/>
      <c r="R217" s="153"/>
      <c r="S217" s="215"/>
      <c r="T217" s="153"/>
      <c r="U217" s="724"/>
      <c r="V217" s="725"/>
      <c r="W217" s="726"/>
      <c r="X217" s="165">
        <f ca="1">G173</f>
        <v>1</v>
      </c>
      <c r="Y217" s="194"/>
    </row>
    <row r="218" spans="1:25" ht="21.95" customHeight="1" x14ac:dyDescent="0.2">
      <c r="A218" s="273" t="s">
        <v>2755</v>
      </c>
      <c r="B218" s="288" t="str">
        <f>IF(COUNTIF(I286:W295,"&lt;&gt;")&gt;0," ","")</f>
        <v/>
      </c>
      <c r="C218" s="281">
        <f ca="1">VLOOKUP(A218,DB_TBL_DATA_FIELDS[[FIELD_ID]:[PCT_CALC_FIELD_STATUS_CODE]],22,FALSE)</f>
        <v>-1</v>
      </c>
      <c r="D218" s="281" t="str">
        <f>IF(VLOOKUP(A218,DB_TBL_DATA_FIELDS[[FIELD_ID]:[ERROR_MESSAGE]],23,FALSE)&lt;&gt;0,VLOOKUP(A218,DB_TBL_DATA_FIELDS[[FIELD_ID]:[ERROR_MESSAGE]],23,FALSE),"")</f>
        <v/>
      </c>
      <c r="E218" s="281">
        <f>VLOOKUP(A218,DB_TBL_DATA_FIELDS[[#All],[FIELD_ID]:[RANGE_VALIDATION_MAX]],18,FALSE)</f>
        <v>0</v>
      </c>
      <c r="F218" s="281">
        <f>VLOOKUP(A218,DB_TBL_DATA_FIELDS[[#All],[FIELD_ID]:[RANGE_VALIDATION_MAX]],19,FALSE)</f>
        <v>2000</v>
      </c>
      <c r="G218" s="281" t="str">
        <f t="shared" ca="1" si="24"/>
        <v/>
      </c>
      <c r="H218" s="215"/>
      <c r="I218" s="215"/>
      <c r="J218" s="153"/>
      <c r="K218" s="194"/>
      <c r="L218" s="153"/>
      <c r="M218" s="194"/>
      <c r="N218" s="153"/>
      <c r="O218" s="194"/>
      <c r="P218" s="153"/>
      <c r="Q218" s="727" t="str">
        <f ca="1">D173</f>
        <v/>
      </c>
      <c r="R218" s="542"/>
      <c r="S218" s="542"/>
      <c r="T218" s="542"/>
      <c r="U218" s="542"/>
      <c r="V218" s="542"/>
      <c r="W218" s="542"/>
      <c r="X218" s="153"/>
      <c r="Y218" s="194"/>
    </row>
    <row r="219" spans="1:25" ht="21.95" customHeight="1" x14ac:dyDescent="0.2">
      <c r="A219" s="273" t="s">
        <v>2756</v>
      </c>
      <c r="B219" s="288" t="str">
        <f>IF(COUNTIF(I298:W307,"&lt;&gt;")&gt;0," ","")</f>
        <v/>
      </c>
      <c r="C219" s="281">
        <f ca="1">VLOOKUP(A219,DB_TBL_DATA_FIELDS[[FIELD_ID]:[PCT_CALC_FIELD_STATUS_CODE]],22,FALSE)</f>
        <v>-1</v>
      </c>
      <c r="D219" s="281" t="str">
        <f>IF(VLOOKUP(A219,DB_TBL_DATA_FIELDS[[FIELD_ID]:[ERROR_MESSAGE]],23,FALSE)&lt;&gt;0,VLOOKUP(A219,DB_TBL_DATA_FIELDS[[FIELD_ID]:[ERROR_MESSAGE]],23,FALSE),"")</f>
        <v/>
      </c>
      <c r="E219" s="281">
        <f>VLOOKUP(A219,DB_TBL_DATA_FIELDS[[#All],[FIELD_ID]:[RANGE_VALIDATION_MAX]],18,FALSE)</f>
        <v>0</v>
      </c>
      <c r="F219" s="281">
        <f>VLOOKUP(A219,DB_TBL_DATA_FIELDS[[#All],[FIELD_ID]:[RANGE_VALIDATION_MAX]],19,FALSE)</f>
        <v>1500</v>
      </c>
      <c r="G219" s="281" t="str">
        <f t="shared" ca="1" si="24"/>
        <v/>
      </c>
      <c r="H219" s="215"/>
      <c r="I219" s="207" t="s">
        <v>3437</v>
      </c>
      <c r="J219" s="153"/>
      <c r="K219" s="194"/>
      <c r="L219" s="153"/>
      <c r="M219" s="194"/>
      <c r="N219" s="153"/>
      <c r="O219" s="194"/>
      <c r="P219" s="153"/>
      <c r="Q219" s="194"/>
      <c r="R219" s="153"/>
      <c r="S219" s="194"/>
      <c r="T219" s="153"/>
      <c r="U219" s="194"/>
      <c r="V219" s="153"/>
      <c r="W219" s="194"/>
      <c r="X219" s="153"/>
      <c r="Y219" s="194"/>
    </row>
    <row r="220" spans="1:25" ht="21.95" customHeight="1" x14ac:dyDescent="0.2">
      <c r="A220" s="273" t="s">
        <v>2757</v>
      </c>
      <c r="B220" s="288" t="str">
        <f>IF(I310&lt;&gt;"",I310,"")</f>
        <v/>
      </c>
      <c r="C220" s="281">
        <f ca="1">VLOOKUP(A220,DB_TBL_DATA_FIELDS[[FIELD_ID]:[PCT_CALC_FIELD_STATUS_CODE]],22,FALSE)</f>
        <v>1</v>
      </c>
      <c r="D220" s="281" t="str">
        <f>IF(VLOOKUP(A220,DB_TBL_DATA_FIELDS[[FIELD_ID]:[ERROR_MESSAGE]],23,FALSE)&lt;&gt;0,VLOOKUP(A220,DB_TBL_DATA_FIELDS[[FIELD_ID]:[ERROR_MESSAGE]],23,FALSE),"")</f>
        <v/>
      </c>
      <c r="E220" s="281">
        <f>VLOOKUP(A220,DB_TBL_DATA_FIELDS[[#All],[FIELD_ID]:[RANGE_VALIDATION_MAX]],18,FALSE)</f>
        <v>0</v>
      </c>
      <c r="F220" s="281">
        <f>VLOOKUP(A220,DB_TBL_DATA_FIELDS[[#All],[FIELD_ID]:[RANGE_VALIDATION_MAX]],19,FALSE)</f>
        <v>1500</v>
      </c>
      <c r="G220" s="281">
        <f t="shared" ca="1" si="24"/>
        <v>1</v>
      </c>
      <c r="H220" s="215"/>
      <c r="I220" s="226" t="s">
        <v>3363</v>
      </c>
      <c r="J220" s="153"/>
      <c r="K220" s="194"/>
      <c r="L220" s="153"/>
      <c r="M220" s="194"/>
      <c r="N220" s="153"/>
      <c r="O220" s="194"/>
      <c r="P220" s="153"/>
      <c r="Q220" s="194"/>
      <c r="R220" s="153"/>
      <c r="S220" s="194"/>
      <c r="T220" s="153"/>
      <c r="U220" s="194"/>
      <c r="V220" s="153"/>
      <c r="W220" s="316"/>
      <c r="X220" s="165" t="str">
        <f ca="1">G174</f>
        <v/>
      </c>
      <c r="Y220" s="194"/>
    </row>
    <row r="221" spans="1:25" ht="21.95" customHeight="1" x14ac:dyDescent="0.2">
      <c r="A221" s="290" t="s">
        <v>298</v>
      </c>
      <c r="B221" s="282" t="str">
        <f>"C"&amp;MATCH(LEFT(A221,LEN(A221)-LEN("_RANGE")),A:A,0)+1&amp;":C"&amp;(ROW()-1)</f>
        <v>C212:C220</v>
      </c>
      <c r="C221" s="281"/>
      <c r="D221" s="281"/>
      <c r="E221" s="281"/>
      <c r="F221" s="281"/>
      <c r="G221" s="281"/>
      <c r="H221" s="215"/>
      <c r="I221" s="226" t="s">
        <v>3364</v>
      </c>
      <c r="J221" s="153"/>
      <c r="K221" s="194"/>
      <c r="L221" s="153"/>
      <c r="M221" s="194"/>
      <c r="N221" s="153"/>
      <c r="O221" s="194"/>
      <c r="P221" s="153"/>
      <c r="Q221" s="194"/>
      <c r="R221" s="153"/>
      <c r="S221" s="194"/>
      <c r="T221" s="153"/>
      <c r="U221" s="194"/>
      <c r="V221" s="153"/>
      <c r="W221" s="316"/>
      <c r="X221" s="165" t="str">
        <f ca="1">G175</f>
        <v/>
      </c>
      <c r="Y221" s="194"/>
    </row>
    <row r="222" spans="1:25" ht="21.95" customHeight="1" x14ac:dyDescent="0.2">
      <c r="A222" s="290" t="s">
        <v>299</v>
      </c>
      <c r="B222" s="282">
        <f ca="1">COUNTIF(INDIRECT($B221),2)</f>
        <v>0</v>
      </c>
      <c r="C222" s="281"/>
      <c r="D222" s="281"/>
      <c r="E222" s="281"/>
      <c r="F222" s="281"/>
      <c r="G222" s="281"/>
      <c r="H222" s="215"/>
      <c r="I222" s="226" t="s">
        <v>3365</v>
      </c>
      <c r="J222" s="153"/>
      <c r="K222" s="194"/>
      <c r="L222" s="153"/>
      <c r="M222" s="194"/>
      <c r="N222" s="153"/>
      <c r="O222" s="194"/>
      <c r="P222" s="153"/>
      <c r="Q222" s="194"/>
      <c r="R222" s="153"/>
      <c r="S222" s="194"/>
      <c r="T222" s="153"/>
      <c r="U222" s="194"/>
      <c r="V222" s="153"/>
      <c r="W222" s="316"/>
      <c r="X222" s="165" t="str">
        <f ca="1">G176</f>
        <v/>
      </c>
      <c r="Y222" s="194"/>
    </row>
    <row r="223" spans="1:25" ht="21.95" customHeight="1" x14ac:dyDescent="0.2">
      <c r="A223" s="290" t="s">
        <v>300</v>
      </c>
      <c r="B223" s="282">
        <f ca="1">COUNTIF(INDIRECT($B221),0)+COUNTIF(INDIRECT($B221),1)+COUNTIF(INDIRECT($B221),2)</f>
        <v>5</v>
      </c>
      <c r="C223" s="281"/>
      <c r="D223" s="281"/>
      <c r="E223" s="281"/>
      <c r="F223" s="281"/>
      <c r="G223" s="281"/>
      <c r="H223" s="215"/>
      <c r="I223" s="226" t="s">
        <v>3366</v>
      </c>
      <c r="J223" s="153"/>
      <c r="K223" s="194"/>
      <c r="L223" s="153"/>
      <c r="M223" s="194"/>
      <c r="N223" s="153"/>
      <c r="O223" s="194"/>
      <c r="P223" s="153"/>
      <c r="Q223" s="194"/>
      <c r="R223" s="153"/>
      <c r="S223" s="194"/>
      <c r="T223" s="153"/>
      <c r="U223" s="194"/>
      <c r="V223" s="153"/>
      <c r="W223" s="316"/>
      <c r="X223" s="165" t="str">
        <f ca="1">G177</f>
        <v/>
      </c>
      <c r="Y223" s="194"/>
    </row>
    <row r="224" spans="1:25" ht="21.95" customHeight="1" x14ac:dyDescent="0.2">
      <c r="A224" s="290" t="s">
        <v>301</v>
      </c>
      <c r="B224" s="282">
        <f ca="1">COUNTIF(INDIRECT($B221),0)</f>
        <v>0</v>
      </c>
      <c r="C224" s="281" t="s">
        <v>2607</v>
      </c>
      <c r="D224" s="281"/>
      <c r="E224" s="281"/>
      <c r="F224" s="281"/>
      <c r="G224" s="281"/>
      <c r="H224" s="215"/>
      <c r="I224" s="226" t="s">
        <v>3367</v>
      </c>
      <c r="J224" s="153"/>
      <c r="K224" s="194"/>
      <c r="L224" s="153"/>
      <c r="M224" s="194"/>
      <c r="N224" s="153"/>
      <c r="O224" s="194"/>
      <c r="P224" s="153"/>
      <c r="Q224" s="194"/>
      <c r="R224" s="153"/>
      <c r="S224" s="194"/>
      <c r="T224" s="153"/>
      <c r="U224" s="194"/>
      <c r="V224" s="153"/>
      <c r="W224" s="316"/>
      <c r="X224" s="165" t="str">
        <f ca="1">G178</f>
        <v/>
      </c>
      <c r="Y224" s="194"/>
    </row>
    <row r="225" spans="1:25" ht="21.95" customHeight="1" x14ac:dyDescent="0.2">
      <c r="A225" s="290" t="s">
        <v>302</v>
      </c>
      <c r="B225" s="291">
        <f ca="1">IFERROR(B222/B223,1.01)</f>
        <v>0</v>
      </c>
      <c r="C225" s="281"/>
      <c r="D225" s="281"/>
      <c r="E225" s="281"/>
      <c r="F225" s="281"/>
      <c r="G225" s="281"/>
      <c r="H225" s="215"/>
      <c r="I225" s="194"/>
      <c r="J225" s="153"/>
      <c r="K225" s="194"/>
      <c r="L225" s="153"/>
      <c r="M225" s="194"/>
      <c r="N225" s="153"/>
      <c r="O225" s="194"/>
      <c r="P225" s="153"/>
      <c r="Q225" s="194"/>
      <c r="R225" s="153"/>
      <c r="S225" s="194"/>
      <c r="T225" s="153"/>
      <c r="U225" s="194"/>
      <c r="V225" s="153"/>
      <c r="W225" s="194"/>
      <c r="X225" s="153"/>
      <c r="Y225" s="194"/>
    </row>
    <row r="226" spans="1:25" ht="21.95" customHeight="1" thickBot="1" x14ac:dyDescent="0.25">
      <c r="A226" s="290" t="s">
        <v>303</v>
      </c>
      <c r="B226" s="292" t="str">
        <f ca="1">IF(B224&gt;0,"Data Error(s)",IF(B225=0,"Not Started",IF(B225&lt;1,ROUNDUP(B225*100,0)&amp;"% Done",IF(B225&gt;1,"Optional","Complete"))))</f>
        <v>Not Started</v>
      </c>
      <c r="C226" s="281"/>
      <c r="D226" s="281"/>
      <c r="E226" s="281"/>
      <c r="F226" s="281"/>
      <c r="G226" s="281"/>
      <c r="H226" s="215"/>
      <c r="I226" s="424" t="str">
        <f>B189</f>
        <v>Member Involvement</v>
      </c>
      <c r="J226" s="269"/>
      <c r="K226" s="269"/>
      <c r="L226" s="269"/>
      <c r="M226" s="269"/>
      <c r="N226" s="269"/>
      <c r="O226" s="269"/>
      <c r="P226" s="269"/>
      <c r="Q226" s="269"/>
      <c r="R226" s="269"/>
      <c r="S226" s="269"/>
      <c r="T226" s="269"/>
      <c r="U226" s="269"/>
      <c r="V226" s="269"/>
      <c r="W226" s="269"/>
      <c r="X226" s="167" t="str">
        <f ca="1">"Status: "&amp;$B$206</f>
        <v>Status: Not Started</v>
      </c>
      <c r="Y226" s="194"/>
    </row>
    <row r="227" spans="1:25" ht="21.95" customHeight="1" x14ac:dyDescent="0.2">
      <c r="A227" s="290" t="s">
        <v>304</v>
      </c>
      <c r="B227" s="282" t="str">
        <f ca="1">IF(B224&gt;0,0,IF(B225&lt;1,"",2))</f>
        <v/>
      </c>
      <c r="C227" s="281"/>
      <c r="D227" s="281"/>
      <c r="E227" s="281"/>
      <c r="F227" s="281"/>
      <c r="G227" s="281"/>
      <c r="H227" s="215"/>
      <c r="I227" s="194"/>
      <c r="J227" s="153"/>
      <c r="K227" s="194"/>
      <c r="L227" s="153"/>
      <c r="M227" s="194"/>
      <c r="N227" s="153"/>
      <c r="O227" s="194"/>
      <c r="P227" s="153"/>
      <c r="Q227" s="194"/>
      <c r="R227" s="153"/>
      <c r="S227" s="194"/>
      <c r="T227" s="153"/>
      <c r="U227" s="194"/>
      <c r="V227" s="153"/>
      <c r="W227" s="194"/>
      <c r="X227" s="153"/>
      <c r="Y227" s="194"/>
    </row>
    <row r="228" spans="1:25" ht="21.95" customHeight="1" x14ac:dyDescent="0.2">
      <c r="A228" s="290" t="s">
        <v>305</v>
      </c>
      <c r="B228" s="293" t="s">
        <v>2868</v>
      </c>
      <c r="C228" s="281"/>
      <c r="D228" s="281"/>
      <c r="E228" s="281"/>
      <c r="F228" s="281"/>
      <c r="G228" s="281"/>
      <c r="H228" s="215"/>
      <c r="I228" s="194"/>
      <c r="J228" s="153"/>
      <c r="K228" s="194"/>
      <c r="L228" s="153"/>
      <c r="M228" s="194"/>
      <c r="N228" s="153"/>
      <c r="O228" s="194"/>
      <c r="P228" s="153"/>
      <c r="Q228" s="194"/>
      <c r="R228" s="153"/>
      <c r="S228" s="194"/>
      <c r="T228" s="153"/>
      <c r="U228" s="194"/>
      <c r="V228" s="153"/>
      <c r="W228" s="194"/>
      <c r="X228" s="153"/>
      <c r="Y228" s="194"/>
    </row>
    <row r="229" spans="1:25" ht="21.95" customHeight="1" x14ac:dyDescent="0.2">
      <c r="A229" s="294" t="s">
        <v>3739</v>
      </c>
      <c r="B229" s="300" t="str">
        <f ca="1">IF(D216&lt;&gt;"",D216,"")</f>
        <v/>
      </c>
      <c r="C229" s="281">
        <f ca="1">IF(B229="",0,1)</f>
        <v>0</v>
      </c>
      <c r="D229" s="281"/>
      <c r="E229" s="281"/>
      <c r="F229" s="281"/>
      <c r="G229" s="281"/>
      <c r="H229" s="215"/>
      <c r="I229" s="226" t="s">
        <v>2701</v>
      </c>
      <c r="J229" s="153"/>
      <c r="K229" s="194"/>
      <c r="L229" s="153"/>
      <c r="M229" s="194"/>
      <c r="N229" s="153"/>
      <c r="O229" s="194"/>
      <c r="P229" s="153"/>
      <c r="Q229" s="194"/>
      <c r="R229" s="153"/>
      <c r="S229" s="194"/>
      <c r="T229" s="153"/>
      <c r="U229" s="194"/>
      <c r="V229" s="153"/>
      <c r="W229" s="316"/>
      <c r="X229" s="165">
        <f ca="1">G190</f>
        <v>1</v>
      </c>
      <c r="Y229" s="194"/>
    </row>
    <row r="230" spans="1:25" ht="21.95" customHeight="1" x14ac:dyDescent="0.2">
      <c r="A230" s="294" t="s">
        <v>2354</v>
      </c>
      <c r="B230" s="282">
        <f ca="1">SUM(C229)</f>
        <v>0</v>
      </c>
      <c r="C230" s="281" t="s">
        <v>2462</v>
      </c>
      <c r="D230" s="281"/>
      <c r="E230" s="281"/>
      <c r="F230" s="281"/>
      <c r="G230" s="281"/>
      <c r="H230" s="215"/>
      <c r="I230" s="226" t="s">
        <v>2702</v>
      </c>
      <c r="J230" s="153"/>
      <c r="K230" s="194"/>
      <c r="L230" s="153"/>
      <c r="M230" s="194"/>
      <c r="N230" s="153"/>
      <c r="O230" s="194"/>
      <c r="P230" s="153"/>
      <c r="Q230" s="194"/>
      <c r="R230" s="153"/>
      <c r="S230" s="194"/>
      <c r="T230" s="153"/>
      <c r="U230" s="194"/>
      <c r="V230" s="153"/>
      <c r="W230" s="316"/>
      <c r="X230" s="165">
        <f ca="1">G191</f>
        <v>1</v>
      </c>
      <c r="Y230" s="194"/>
    </row>
    <row r="231" spans="1:25" ht="21.95" customHeight="1" x14ac:dyDescent="0.2">
      <c r="A231" s="294" t="s">
        <v>2355</v>
      </c>
      <c r="B231" s="282" t="b">
        <f ca="1">(B230&gt;0)</f>
        <v>0</v>
      </c>
      <c r="C231" s="281"/>
      <c r="D231" s="281"/>
      <c r="E231" s="281"/>
      <c r="F231" s="281"/>
      <c r="G231" s="281"/>
      <c r="H231" s="215"/>
      <c r="I231" s="226" t="s">
        <v>2703</v>
      </c>
      <c r="J231" s="153"/>
      <c r="K231" s="194"/>
      <c r="L231" s="153"/>
      <c r="M231" s="194"/>
      <c r="N231" s="153"/>
      <c r="O231" s="194"/>
      <c r="P231" s="153"/>
      <c r="Q231" s="194"/>
      <c r="R231" s="153"/>
      <c r="S231" s="194"/>
      <c r="T231" s="153"/>
      <c r="U231" s="194"/>
      <c r="V231" s="153"/>
      <c r="W231" s="316"/>
      <c r="X231" s="165">
        <f ca="1">G192</f>
        <v>1</v>
      </c>
      <c r="Y231" s="194"/>
    </row>
    <row r="232" spans="1:25" ht="21.95" customHeight="1" x14ac:dyDescent="0.2">
      <c r="A232" s="285" t="s">
        <v>306</v>
      </c>
      <c r="B232" s="305" t="s">
        <v>2869</v>
      </c>
      <c r="C232" s="287"/>
      <c r="D232" s="287"/>
      <c r="E232" s="287"/>
      <c r="F232" s="287"/>
      <c r="G232" s="172" t="str">
        <f>B254</f>
        <v>Development Partner(s)</v>
      </c>
      <c r="H232" s="215"/>
      <c r="I232" s="312" t="s">
        <v>3438</v>
      </c>
      <c r="J232" s="355"/>
      <c r="K232" s="355"/>
      <c r="L232" s="355"/>
      <c r="M232" s="355"/>
      <c r="N232" s="355"/>
      <c r="O232" s="355"/>
      <c r="P232" s="355"/>
      <c r="Q232" s="355"/>
      <c r="R232" s="355"/>
      <c r="S232" s="355"/>
      <c r="T232" s="355"/>
      <c r="U232" s="355"/>
      <c r="V232" s="355"/>
      <c r="W232" s="175" t="str">
        <f>SUBSTITUTE(SUBSTITUTE(SUBSTITUTE(IF(LEN(B193)&gt;F193,CONFIG_CHAR_LIMIT_TEMPLATE_ERR,CONFIG_CHAR_LIMIT_TEMPLATE),"[diff]",ABS(LEN(B193)-F193)),"[limit]",F193),"[used]",LEN(B193))</f>
        <v>1000 character(s) remaining</v>
      </c>
      <c r="X232" s="235"/>
      <c r="Y232" s="194"/>
    </row>
    <row r="233" spans="1:25" ht="21.95" customHeight="1" x14ac:dyDescent="0.2">
      <c r="A233" s="273" t="s">
        <v>3386</v>
      </c>
      <c r="B233" s="288" t="str">
        <f>IF(I321&lt;&gt;"",I321,"")</f>
        <v/>
      </c>
      <c r="C233" s="281">
        <f ca="1">VLOOKUP(A233,DB_TBL_DATA_FIELDS[[FIELD_ID]:[PCT_CALC_FIELD_STATUS_CODE]],22,FALSE)</f>
        <v>-1</v>
      </c>
      <c r="D233" s="281" t="str">
        <f>IF(VLOOKUP(A233,DB_TBL_DATA_FIELDS[[FIELD_ID]:[ERROR_MESSAGE]],23,FALSE)&lt;&gt;0,VLOOKUP(A233,DB_TBL_DATA_FIELDS[[FIELD_ID]:[ERROR_MESSAGE]],23,FALSE),"")</f>
        <v/>
      </c>
      <c r="E233" s="281">
        <f>VLOOKUP(A233,DB_TBL_DATA_FIELDS[[#All],[FIELD_ID]:[RANGE_VALIDATION_MAX]],18,FALSE)</f>
        <v>0</v>
      </c>
      <c r="F233" s="281">
        <f>VLOOKUP(A233,DB_TBL_DATA_FIELDS[[#All],[FIELD_ID]:[RANGE_VALIDATION_MAX]],19,FALSE)</f>
        <v>32767</v>
      </c>
      <c r="G233" s="281" t="str">
        <f t="shared" ref="G233:G239" ca="1" si="26">IF(C233&lt;0,"",C233)</f>
        <v/>
      </c>
      <c r="H233" s="215"/>
      <c r="I233" s="500"/>
      <c r="J233" s="501"/>
      <c r="K233" s="501"/>
      <c r="L233" s="501"/>
      <c r="M233" s="501"/>
      <c r="N233" s="501"/>
      <c r="O233" s="501"/>
      <c r="P233" s="501"/>
      <c r="Q233" s="501"/>
      <c r="R233" s="501"/>
      <c r="S233" s="501"/>
      <c r="T233" s="501"/>
      <c r="U233" s="501"/>
      <c r="V233" s="501"/>
      <c r="W233" s="502"/>
      <c r="X233" s="165" t="str">
        <f ca="1">G193</f>
        <v/>
      </c>
      <c r="Y233" s="194"/>
    </row>
    <row r="234" spans="1:25" ht="21.95" customHeight="1" x14ac:dyDescent="0.2">
      <c r="A234" s="273" t="s">
        <v>3388</v>
      </c>
      <c r="B234" s="288" t="str">
        <f>IF(I323&lt;&gt;"",I323,"")</f>
        <v/>
      </c>
      <c r="C234" s="281">
        <f ca="1">VLOOKUP(A234,DB_TBL_DATA_FIELDS[[FIELD_ID]:[PCT_CALC_FIELD_STATUS_CODE]],22,FALSE)</f>
        <v>-1</v>
      </c>
      <c r="D234" s="281" t="str">
        <f>IF(VLOOKUP(A234,DB_TBL_DATA_FIELDS[[FIELD_ID]:[ERROR_MESSAGE]],23,FALSE)&lt;&gt;0,VLOOKUP(A234,DB_TBL_DATA_FIELDS[[FIELD_ID]:[ERROR_MESSAGE]],23,FALSE),"")</f>
        <v/>
      </c>
      <c r="E234" s="281">
        <f>VLOOKUP(A234,DB_TBL_DATA_FIELDS[[#All],[FIELD_ID]:[RANGE_VALIDATION_MAX]],18,FALSE)</f>
        <v>0</v>
      </c>
      <c r="F234" s="281">
        <f>VLOOKUP(A234,DB_TBL_DATA_FIELDS[[#All],[FIELD_ID]:[RANGE_VALIDATION_MAX]],19,FALSE)</f>
        <v>32767</v>
      </c>
      <c r="G234" s="281" t="str">
        <f t="shared" ca="1" si="26"/>
        <v/>
      </c>
      <c r="H234" s="215"/>
      <c r="I234" s="503"/>
      <c r="J234" s="504"/>
      <c r="K234" s="504"/>
      <c r="L234" s="504"/>
      <c r="M234" s="504"/>
      <c r="N234" s="504"/>
      <c r="O234" s="504"/>
      <c r="P234" s="504"/>
      <c r="Q234" s="504"/>
      <c r="R234" s="504"/>
      <c r="S234" s="504"/>
      <c r="T234" s="504"/>
      <c r="U234" s="504"/>
      <c r="V234" s="504"/>
      <c r="W234" s="505"/>
      <c r="X234" s="153"/>
      <c r="Y234" s="194"/>
    </row>
    <row r="235" spans="1:25" ht="21.95" customHeight="1" x14ac:dyDescent="0.2">
      <c r="A235" s="307" t="s">
        <v>2758</v>
      </c>
      <c r="B235" s="308"/>
      <c r="C235" s="309"/>
      <c r="D235" s="309"/>
      <c r="E235" s="309"/>
      <c r="F235" s="309"/>
      <c r="G235" s="309"/>
      <c r="H235" s="215"/>
      <c r="I235" s="506"/>
      <c r="J235" s="507"/>
      <c r="K235" s="507"/>
      <c r="L235" s="507"/>
      <c r="M235" s="507"/>
      <c r="N235" s="507"/>
      <c r="O235" s="507"/>
      <c r="P235" s="507"/>
      <c r="Q235" s="507"/>
      <c r="R235" s="507"/>
      <c r="S235" s="507"/>
      <c r="T235" s="507"/>
      <c r="U235" s="507"/>
      <c r="V235" s="507"/>
      <c r="W235" s="508"/>
      <c r="X235" s="153"/>
      <c r="Y235" s="194"/>
    </row>
    <row r="236" spans="1:25" ht="21.95" customHeight="1" x14ac:dyDescent="0.2">
      <c r="A236" s="273" t="s">
        <v>2759</v>
      </c>
      <c r="B236" s="288" t="str">
        <f>IF(I325&lt;&gt;"",I325,"")</f>
        <v/>
      </c>
      <c r="C236" s="281">
        <f ca="1">VLOOKUP(A236,DB_TBL_DATA_FIELDS[[FIELD_ID]:[PCT_CALC_FIELD_STATUS_CODE]],22,FALSE)</f>
        <v>-1</v>
      </c>
      <c r="D236" s="281" t="str">
        <f>IF(VLOOKUP(A236,DB_TBL_DATA_FIELDS[[FIELD_ID]:[ERROR_MESSAGE]],23,FALSE)&lt;&gt;0,VLOOKUP(A236,DB_TBL_DATA_FIELDS[[FIELD_ID]:[ERROR_MESSAGE]],23,FALSE),"")</f>
        <v/>
      </c>
      <c r="E236" s="281">
        <f>VLOOKUP(A236,DB_TBL_DATA_FIELDS[[#All],[FIELD_ID]:[RANGE_VALIDATION_MAX]],18,FALSE)</f>
        <v>0</v>
      </c>
      <c r="F236" s="281">
        <f>VLOOKUP(A236,DB_TBL_DATA_FIELDS[[#All],[FIELD_ID]:[RANGE_VALIDATION_MAX]],19,FALSE)</f>
        <v>2000</v>
      </c>
      <c r="G236" s="281" t="str">
        <f t="shared" ca="1" si="26"/>
        <v/>
      </c>
      <c r="H236" s="153"/>
      <c r="I236" s="627" t="s">
        <v>3439</v>
      </c>
      <c r="J236" s="627"/>
      <c r="K236" s="627"/>
      <c r="L236" s="627"/>
      <c r="M236" s="627"/>
      <c r="N236" s="627"/>
      <c r="O236" s="627"/>
      <c r="P236" s="627"/>
      <c r="Q236" s="627"/>
      <c r="R236" s="627"/>
      <c r="S236" s="627"/>
      <c r="T236" s="627"/>
      <c r="U236" s="627"/>
      <c r="V236" s="627"/>
      <c r="W236" s="627"/>
      <c r="X236" s="153"/>
      <c r="Y236" s="153"/>
    </row>
    <row r="237" spans="1:25" ht="21.95" customHeight="1" x14ac:dyDescent="0.2">
      <c r="A237" s="273" t="s">
        <v>2760</v>
      </c>
      <c r="B237" s="288" t="str">
        <f>IF(COUNTIF(I336:W345,"&lt;&gt;")&gt;0," ","")</f>
        <v/>
      </c>
      <c r="C237" s="281">
        <f ca="1">VLOOKUP(A237,DB_TBL_DATA_FIELDS[[FIELD_ID]:[PCT_CALC_FIELD_STATUS_CODE]],22,FALSE)</f>
        <v>-1</v>
      </c>
      <c r="D237" s="281" t="str">
        <f>IF(VLOOKUP(A237,DB_TBL_DATA_FIELDS[[FIELD_ID]:[ERROR_MESSAGE]],23,FALSE)&lt;&gt;0,VLOOKUP(A237,DB_TBL_DATA_FIELDS[[FIELD_ID]:[ERROR_MESSAGE]],23,FALSE),"")</f>
        <v/>
      </c>
      <c r="E237" s="281">
        <f>VLOOKUP(A237,DB_TBL_DATA_FIELDS[[#All],[FIELD_ID]:[RANGE_VALIDATION_MAX]],18,FALSE)</f>
        <v>0</v>
      </c>
      <c r="F237" s="281">
        <f>VLOOKUP(A237,DB_TBL_DATA_FIELDS[[#All],[FIELD_ID]:[RANGE_VALIDATION_MAX]],19,FALSE)</f>
        <v>2000</v>
      </c>
      <c r="G237" s="281" t="str">
        <f t="shared" ca="1" si="26"/>
        <v/>
      </c>
      <c r="H237" s="153"/>
      <c r="I237" s="737"/>
      <c r="J237" s="737"/>
      <c r="K237" s="737"/>
      <c r="L237" s="737"/>
      <c r="M237" s="737"/>
      <c r="N237" s="737"/>
      <c r="O237" s="737"/>
      <c r="P237" s="737"/>
      <c r="Q237" s="737"/>
      <c r="R237" s="737"/>
      <c r="S237" s="737"/>
      <c r="T237" s="737"/>
      <c r="U237" s="737"/>
      <c r="V237" s="737"/>
      <c r="W237" s="737"/>
      <c r="X237" s="153"/>
      <c r="Y237" s="153"/>
    </row>
    <row r="238" spans="1:25" ht="21.95" customHeight="1" x14ac:dyDescent="0.2">
      <c r="A238" s="273" t="s">
        <v>2761</v>
      </c>
      <c r="B238" s="288" t="str">
        <f>IF(COUNTIF(I348:W357,"&lt;&gt;")&gt;0," ","")</f>
        <v/>
      </c>
      <c r="C238" s="281">
        <f ca="1">VLOOKUP(A238,DB_TBL_DATA_FIELDS[[FIELD_ID]:[PCT_CALC_FIELD_STATUS_CODE]],22,FALSE)</f>
        <v>-1</v>
      </c>
      <c r="D238" s="281" t="str">
        <f>IF(VLOOKUP(A238,DB_TBL_DATA_FIELDS[[FIELD_ID]:[ERROR_MESSAGE]],23,FALSE)&lt;&gt;0,VLOOKUP(A238,DB_TBL_DATA_FIELDS[[FIELD_ID]:[ERROR_MESSAGE]],23,FALSE),"")</f>
        <v/>
      </c>
      <c r="E238" s="281">
        <f>VLOOKUP(A238,DB_TBL_DATA_FIELDS[[#All],[FIELD_ID]:[RANGE_VALIDATION_MAX]],18,FALSE)</f>
        <v>0</v>
      </c>
      <c r="F238" s="281">
        <f>VLOOKUP(A238,DB_TBL_DATA_FIELDS[[#All],[FIELD_ID]:[RANGE_VALIDATION_MAX]],19,FALSE)</f>
        <v>1500</v>
      </c>
      <c r="G238" s="281" t="str">
        <f t="shared" ca="1" si="26"/>
        <v/>
      </c>
      <c r="H238" s="153"/>
      <c r="I238" s="737"/>
      <c r="J238" s="737"/>
      <c r="K238" s="737"/>
      <c r="L238" s="737"/>
      <c r="M238" s="737"/>
      <c r="N238" s="737"/>
      <c r="O238" s="737"/>
      <c r="P238" s="737"/>
      <c r="Q238" s="737"/>
      <c r="R238" s="737"/>
      <c r="S238" s="737"/>
      <c r="T238" s="737"/>
      <c r="U238" s="737"/>
      <c r="V238" s="737"/>
      <c r="W238" s="737"/>
      <c r="X238" s="153"/>
      <c r="Y238" s="153"/>
    </row>
    <row r="239" spans="1:25" ht="21.95" customHeight="1" x14ac:dyDescent="0.2">
      <c r="A239" s="273" t="s">
        <v>2762</v>
      </c>
      <c r="B239" s="288" t="str">
        <f>IF(I360&lt;&gt;"",I360,"")</f>
        <v/>
      </c>
      <c r="C239" s="281">
        <f ca="1">VLOOKUP(A239,DB_TBL_DATA_FIELDS[[FIELD_ID]:[PCT_CALC_FIELD_STATUS_CODE]],22,FALSE)</f>
        <v>-1</v>
      </c>
      <c r="D239" s="281" t="str">
        <f>IF(VLOOKUP(A239,DB_TBL_DATA_FIELDS[[FIELD_ID]:[ERROR_MESSAGE]],23,FALSE)&lt;&gt;0,VLOOKUP(A239,DB_TBL_DATA_FIELDS[[FIELD_ID]:[ERROR_MESSAGE]],23,FALSE),"")</f>
        <v/>
      </c>
      <c r="E239" s="281">
        <f>VLOOKUP(A239,DB_TBL_DATA_FIELDS[[#All],[FIELD_ID]:[RANGE_VALIDATION_MAX]],18,FALSE)</f>
        <v>0</v>
      </c>
      <c r="F239" s="281">
        <f>VLOOKUP(A239,DB_TBL_DATA_FIELDS[[#All],[FIELD_ID]:[RANGE_VALIDATION_MAX]],19,FALSE)</f>
        <v>1500</v>
      </c>
      <c r="G239" s="281" t="str">
        <f t="shared" ca="1" si="26"/>
        <v/>
      </c>
      <c r="H239" s="153"/>
      <c r="I239" s="737"/>
      <c r="J239" s="737"/>
      <c r="K239" s="737"/>
      <c r="L239" s="737"/>
      <c r="M239" s="737"/>
      <c r="N239" s="737"/>
      <c r="O239" s="737"/>
      <c r="P239" s="737"/>
      <c r="Q239" s="737"/>
      <c r="R239" s="737"/>
      <c r="S239" s="737"/>
      <c r="T239" s="737"/>
      <c r="U239" s="737"/>
      <c r="V239" s="737"/>
      <c r="W239" s="737"/>
      <c r="X239" s="153"/>
      <c r="Y239" s="153"/>
    </row>
    <row r="240" spans="1:25" ht="21.95" customHeight="1" x14ac:dyDescent="0.2">
      <c r="A240" s="307" t="s">
        <v>3387</v>
      </c>
      <c r="B240" s="308"/>
      <c r="C240" s="309"/>
      <c r="D240" s="309"/>
      <c r="E240" s="309"/>
      <c r="F240" s="309"/>
      <c r="G240" s="309"/>
      <c r="H240" s="153"/>
      <c r="I240" s="153"/>
      <c r="J240" s="153"/>
      <c r="K240" s="153"/>
      <c r="L240" s="153"/>
      <c r="M240" s="153"/>
      <c r="N240" s="153"/>
      <c r="O240" s="153"/>
      <c r="P240" s="153"/>
      <c r="Q240" s="153"/>
      <c r="R240" s="153"/>
      <c r="S240" s="153"/>
      <c r="T240" s="153"/>
      <c r="U240" s="153"/>
      <c r="V240" s="153"/>
      <c r="W240" s="153"/>
      <c r="X240" s="153"/>
      <c r="Y240" s="153"/>
    </row>
    <row r="241" spans="1:25" ht="21.95" customHeight="1" x14ac:dyDescent="0.2">
      <c r="A241" s="307" t="s">
        <v>3389</v>
      </c>
      <c r="B241" s="308"/>
      <c r="C241" s="309"/>
      <c r="D241" s="309"/>
      <c r="E241" s="309"/>
      <c r="F241" s="309"/>
      <c r="G241" s="309"/>
      <c r="H241" s="215"/>
      <c r="I241" s="226" t="s">
        <v>2704</v>
      </c>
      <c r="J241" s="153"/>
      <c r="K241" s="194"/>
      <c r="L241" s="153"/>
      <c r="M241" s="194"/>
      <c r="N241" s="153"/>
      <c r="O241" s="194"/>
      <c r="P241" s="153"/>
      <c r="Q241" s="194"/>
      <c r="R241" s="153"/>
      <c r="S241" s="194"/>
      <c r="T241" s="153"/>
      <c r="U241" s="194"/>
      <c r="V241" s="153"/>
      <c r="W241" s="316"/>
      <c r="X241" s="165">
        <f ca="1">G194</f>
        <v>1</v>
      </c>
      <c r="Y241" s="194"/>
    </row>
    <row r="242" spans="1:25" ht="21.95" customHeight="1" x14ac:dyDescent="0.2">
      <c r="A242" s="307" t="s">
        <v>2763</v>
      </c>
      <c r="B242" s="308"/>
      <c r="C242" s="309"/>
      <c r="D242" s="309"/>
      <c r="E242" s="309"/>
      <c r="F242" s="309"/>
      <c r="G242" s="309"/>
      <c r="H242" s="215"/>
      <c r="I242" s="221" t="s">
        <v>3488</v>
      </c>
      <c r="J242" s="228"/>
      <c r="K242" s="228"/>
      <c r="L242" s="229"/>
      <c r="M242" s="229"/>
      <c r="N242" s="229"/>
      <c r="O242" s="215"/>
      <c r="P242" s="153"/>
      <c r="Q242" s="204"/>
      <c r="R242" s="204"/>
      <c r="S242" s="204"/>
      <c r="T242" s="204"/>
      <c r="U242" s="204"/>
      <c r="V242" s="204"/>
      <c r="W242" s="212"/>
      <c r="X242" s="165" t="str">
        <f ca="1">G195</f>
        <v/>
      </c>
      <c r="Y242" s="194"/>
    </row>
    <row r="243" spans="1:25" ht="21.95" customHeight="1" x14ac:dyDescent="0.2">
      <c r="A243" s="307" t="s">
        <v>2764</v>
      </c>
      <c r="B243" s="308"/>
      <c r="C243" s="309"/>
      <c r="D243" s="309"/>
      <c r="E243" s="309"/>
      <c r="F243" s="309"/>
      <c r="G243" s="309"/>
      <c r="H243" s="215"/>
      <c r="I243" s="221" t="s">
        <v>3489</v>
      </c>
      <c r="J243" s="228"/>
      <c r="K243" s="228"/>
      <c r="L243" s="229"/>
      <c r="M243" s="229"/>
      <c r="N243" s="229"/>
      <c r="O243" s="215"/>
      <c r="P243" s="153"/>
      <c r="Q243" s="204"/>
      <c r="R243" s="204"/>
      <c r="S243" s="204"/>
      <c r="T243" s="204"/>
      <c r="U243" s="204"/>
      <c r="V243" s="204"/>
      <c r="W243" s="212"/>
      <c r="X243" s="165" t="str">
        <f ca="1">G196</f>
        <v/>
      </c>
      <c r="Y243" s="194"/>
    </row>
    <row r="244" spans="1:25" ht="21.95" customHeight="1" x14ac:dyDescent="0.2">
      <c r="A244" s="307" t="s">
        <v>2765</v>
      </c>
      <c r="B244" s="308"/>
      <c r="C244" s="309"/>
      <c r="D244" s="309"/>
      <c r="E244" s="309"/>
      <c r="F244" s="309"/>
      <c r="G244" s="309"/>
      <c r="H244" s="215"/>
      <c r="I244" s="221" t="s">
        <v>3497</v>
      </c>
      <c r="J244" s="228"/>
      <c r="K244" s="228"/>
      <c r="L244" s="229"/>
      <c r="M244" s="229"/>
      <c r="N244" s="229"/>
      <c r="O244" s="215"/>
      <c r="P244" s="153"/>
      <c r="Q244" s="204"/>
      <c r="R244" s="204"/>
      <c r="S244" s="204"/>
      <c r="T244" s="204"/>
      <c r="U244" s="204"/>
      <c r="V244" s="204"/>
      <c r="W244" s="212"/>
      <c r="X244" s="165" t="str">
        <f ca="1">G197</f>
        <v/>
      </c>
      <c r="Y244" s="194"/>
    </row>
    <row r="245" spans="1:25" ht="21.95" customHeight="1" x14ac:dyDescent="0.2">
      <c r="A245" s="307" t="s">
        <v>2766</v>
      </c>
      <c r="B245" s="308"/>
      <c r="C245" s="309"/>
      <c r="D245" s="309"/>
      <c r="E245" s="309"/>
      <c r="F245" s="309"/>
      <c r="G245" s="309"/>
      <c r="H245" s="215"/>
      <c r="I245" s="194"/>
      <c r="J245" s="153"/>
      <c r="K245" s="194"/>
      <c r="L245" s="153"/>
      <c r="M245" s="194"/>
      <c r="N245" s="153"/>
      <c r="O245" s="194"/>
      <c r="P245" s="153"/>
      <c r="Q245" s="194"/>
      <c r="R245" s="153"/>
      <c r="S245" s="194"/>
      <c r="T245" s="153"/>
      <c r="U245" s="194"/>
      <c r="V245" s="153"/>
      <c r="W245" s="194"/>
      <c r="X245" s="153"/>
      <c r="Y245" s="194"/>
    </row>
    <row r="246" spans="1:25" ht="21.95" customHeight="1" x14ac:dyDescent="0.2">
      <c r="A246" s="307" t="s">
        <v>2767</v>
      </c>
      <c r="B246" s="308"/>
      <c r="C246" s="309"/>
      <c r="D246" s="309"/>
      <c r="E246" s="309"/>
      <c r="F246" s="309"/>
      <c r="G246" s="309"/>
      <c r="H246" s="215"/>
      <c r="I246" s="563" t="s">
        <v>2705</v>
      </c>
      <c r="J246" s="614"/>
      <c r="K246" s="614"/>
      <c r="L246" s="614"/>
      <c r="M246" s="614"/>
      <c r="N246" s="614"/>
      <c r="O246" s="614"/>
      <c r="P246" s="614"/>
      <c r="Q246" s="614"/>
      <c r="R246" s="614"/>
      <c r="S246" s="614"/>
      <c r="T246" s="614"/>
      <c r="U246" s="614"/>
      <c r="V246" s="153"/>
      <c r="W246" s="316"/>
      <c r="X246" s="165">
        <f ca="1">G198</f>
        <v>1</v>
      </c>
      <c r="Y246" s="194"/>
    </row>
    <row r="247" spans="1:25" ht="21.95" customHeight="1" x14ac:dyDescent="0.2">
      <c r="A247" s="290" t="s">
        <v>307</v>
      </c>
      <c r="B247" s="282" t="str">
        <f>"C"&amp;MATCH(LEFT(A247,LEN(A247)-LEN("_RANGE")),A:A,0)+1&amp;":C"&amp;(ROW()-1)</f>
        <v>C233:C246</v>
      </c>
      <c r="C247" s="281"/>
      <c r="D247" s="281"/>
      <c r="E247" s="281"/>
      <c r="F247" s="281"/>
      <c r="G247" s="281"/>
      <c r="H247" s="215"/>
      <c r="I247" s="614"/>
      <c r="J247" s="614"/>
      <c r="K247" s="614"/>
      <c r="L247" s="614"/>
      <c r="M247" s="614"/>
      <c r="N247" s="614"/>
      <c r="O247" s="614"/>
      <c r="P247" s="614"/>
      <c r="Q247" s="614"/>
      <c r="R247" s="614"/>
      <c r="S247" s="614"/>
      <c r="T247" s="614"/>
      <c r="U247" s="614"/>
      <c r="V247" s="153"/>
      <c r="W247" s="194"/>
      <c r="X247" s="165"/>
      <c r="Y247" s="194"/>
    </row>
    <row r="248" spans="1:25" ht="21.95" customHeight="1" x14ac:dyDescent="0.2">
      <c r="A248" s="290" t="s">
        <v>308</v>
      </c>
      <c r="B248" s="282">
        <f ca="1">COUNTIF(INDIRECT($B247),2)</f>
        <v>0</v>
      </c>
      <c r="C248" s="281"/>
      <c r="D248" s="281"/>
      <c r="E248" s="281"/>
      <c r="F248" s="281"/>
      <c r="G248" s="281"/>
      <c r="H248" s="215"/>
      <c r="I248" s="226" t="s">
        <v>2706</v>
      </c>
      <c r="J248" s="153"/>
      <c r="K248" s="194"/>
      <c r="L248" s="153"/>
      <c r="M248" s="194"/>
      <c r="N248" s="153"/>
      <c r="O248" s="194"/>
      <c r="P248" s="153"/>
      <c r="Q248" s="194"/>
      <c r="R248" s="153"/>
      <c r="S248" s="194"/>
      <c r="T248" s="153"/>
      <c r="U248" s="194"/>
      <c r="V248" s="153"/>
      <c r="W248" s="316"/>
      <c r="X248" s="165">
        <f ca="1">G199</f>
        <v>1</v>
      </c>
      <c r="Y248" s="194"/>
    </row>
    <row r="249" spans="1:25" ht="21.95" customHeight="1" x14ac:dyDescent="0.2">
      <c r="A249" s="290" t="s">
        <v>309</v>
      </c>
      <c r="B249" s="282">
        <f ca="1">COUNTIF(INDIRECT($B247),0)+COUNTIF(INDIRECT($B247),1)+COUNTIF(INDIRECT($B247),2)</f>
        <v>0</v>
      </c>
      <c r="C249" s="281"/>
      <c r="D249" s="281"/>
      <c r="E249" s="281"/>
      <c r="F249" s="281"/>
      <c r="G249" s="281"/>
      <c r="H249" s="215"/>
      <c r="I249" s="226"/>
      <c r="J249" s="153"/>
      <c r="K249" s="194"/>
      <c r="L249" s="153"/>
      <c r="M249" s="194"/>
      <c r="N249" s="153"/>
      <c r="O249" s="194"/>
      <c r="P249" s="153"/>
      <c r="Q249" s="194"/>
      <c r="R249" s="153"/>
      <c r="S249" s="194"/>
      <c r="T249" s="153"/>
      <c r="U249" s="194"/>
      <c r="V249" s="153"/>
      <c r="W249" s="194"/>
      <c r="X249" s="153"/>
      <c r="Y249" s="194"/>
    </row>
    <row r="250" spans="1:25" ht="21.95" customHeight="1" x14ac:dyDescent="0.2">
      <c r="A250" s="290" t="s">
        <v>310</v>
      </c>
      <c r="B250" s="282">
        <f ca="1">COUNTIF(INDIRECT($B247),0)</f>
        <v>0</v>
      </c>
      <c r="C250" s="281" t="s">
        <v>2607</v>
      </c>
      <c r="D250" s="281"/>
      <c r="E250" s="281"/>
      <c r="F250" s="281"/>
      <c r="G250" s="281"/>
      <c r="H250" s="215"/>
      <c r="I250" s="226" t="s">
        <v>2707</v>
      </c>
      <c r="J250" s="153"/>
      <c r="K250" s="194"/>
      <c r="L250" s="153"/>
      <c r="M250" s="194"/>
      <c r="N250" s="153"/>
      <c r="O250" s="194"/>
      <c r="P250" s="153"/>
      <c r="Q250" s="194"/>
      <c r="R250" s="153"/>
      <c r="S250" s="194"/>
      <c r="T250" s="153"/>
      <c r="U250" s="194"/>
      <c r="V250" s="153"/>
      <c r="W250" s="316"/>
      <c r="X250" s="165">
        <f ca="1">G200</f>
        <v>1</v>
      </c>
      <c r="Y250" s="194"/>
    </row>
    <row r="251" spans="1:25" ht="21.95" customHeight="1" x14ac:dyDescent="0.2">
      <c r="A251" s="290" t="s">
        <v>311</v>
      </c>
      <c r="B251" s="291">
        <f ca="1">IFERROR(B248/B249,1.01)</f>
        <v>1.01</v>
      </c>
      <c r="C251" s="281"/>
      <c r="D251" s="281"/>
      <c r="E251" s="281"/>
      <c r="F251" s="281"/>
      <c r="G251" s="281"/>
      <c r="H251" s="215"/>
      <c r="I251" s="194"/>
      <c r="J251" s="153"/>
      <c r="K251" s="194"/>
      <c r="L251" s="153"/>
      <c r="M251" s="194"/>
      <c r="N251" s="153"/>
      <c r="O251" s="194"/>
      <c r="P251" s="153"/>
      <c r="Q251" s="194"/>
      <c r="R251" s="153"/>
      <c r="S251" s="194"/>
      <c r="T251" s="153"/>
      <c r="U251" s="194"/>
      <c r="V251" s="153"/>
      <c r="W251" s="194"/>
      <c r="X251" s="153"/>
      <c r="Y251" s="194"/>
    </row>
    <row r="252" spans="1:25" ht="21.95" customHeight="1" thickBot="1" x14ac:dyDescent="0.25">
      <c r="A252" s="290" t="s">
        <v>312</v>
      </c>
      <c r="B252" s="292" t="str">
        <f ca="1">IF(B250&gt;0,"Data Error(s)",IF(B251=0,"Not Started",IF(B251&lt;1,ROUNDUP(B251*100,0)&amp;"% Done",IF(B251&gt;1,"Optional","Complete"))))</f>
        <v>Optional</v>
      </c>
      <c r="C252" s="281"/>
      <c r="D252" s="281"/>
      <c r="E252" s="281"/>
      <c r="F252" s="281"/>
      <c r="G252" s="281"/>
      <c r="H252" s="215"/>
      <c r="I252" s="424" t="str">
        <f>B211</f>
        <v>Project Sponsor Profile</v>
      </c>
      <c r="J252" s="269"/>
      <c r="K252" s="269"/>
      <c r="L252" s="269"/>
      <c r="M252" s="269"/>
      <c r="N252" s="269"/>
      <c r="O252" s="269"/>
      <c r="P252" s="269"/>
      <c r="Q252" s="269"/>
      <c r="R252" s="269"/>
      <c r="S252" s="269"/>
      <c r="T252" s="269"/>
      <c r="U252" s="269"/>
      <c r="V252" s="269"/>
      <c r="W252" s="269"/>
      <c r="X252" s="167" t="str">
        <f ca="1">"Status: "&amp;$B$226</f>
        <v>Status: Not Started</v>
      </c>
      <c r="Y252" s="194"/>
    </row>
    <row r="253" spans="1:25" ht="21.95" customHeight="1" x14ac:dyDescent="0.2">
      <c r="A253" s="290" t="s">
        <v>313</v>
      </c>
      <c r="B253" s="282">
        <f ca="1">IF(B250&gt;0,0,IF(B251&lt;1,"",2))</f>
        <v>2</v>
      </c>
      <c r="C253" s="281"/>
      <c r="D253" s="281"/>
      <c r="E253" s="281"/>
      <c r="F253" s="281"/>
      <c r="G253" s="281"/>
      <c r="H253" s="215"/>
      <c r="I253" s="194"/>
      <c r="J253" s="153"/>
      <c r="K253" s="194"/>
      <c r="L253" s="153"/>
      <c r="M253" s="194"/>
      <c r="N253" s="153"/>
      <c r="O253" s="194"/>
      <c r="P253" s="153"/>
      <c r="Q253" s="194"/>
      <c r="R253" s="153"/>
      <c r="S253" s="194"/>
      <c r="T253" s="153"/>
      <c r="U253" s="194"/>
      <c r="V253" s="153"/>
      <c r="W253" s="194"/>
      <c r="X253" s="153"/>
      <c r="Y253" s="194"/>
    </row>
    <row r="254" spans="1:25" ht="21.95" customHeight="1" x14ac:dyDescent="0.2">
      <c r="A254" s="290" t="s">
        <v>314</v>
      </c>
      <c r="B254" s="293" t="s">
        <v>2869</v>
      </c>
      <c r="C254" s="281"/>
      <c r="D254" s="281"/>
      <c r="E254" s="281"/>
      <c r="F254" s="281"/>
      <c r="G254" s="281"/>
      <c r="H254" s="215"/>
      <c r="I254" s="204" t="s">
        <v>202</v>
      </c>
      <c r="J254" s="153"/>
      <c r="K254" s="194"/>
      <c r="L254" s="153"/>
      <c r="M254" s="194"/>
      <c r="N254" s="153"/>
      <c r="O254" s="194"/>
      <c r="P254" s="153"/>
      <c r="Q254" s="194"/>
      <c r="R254" s="153"/>
      <c r="S254" s="194"/>
      <c r="T254" s="153"/>
      <c r="U254" s="194"/>
      <c r="V254" s="153"/>
      <c r="W254" s="194"/>
      <c r="X254" s="153"/>
      <c r="Y254" s="194"/>
    </row>
    <row r="255" spans="1:25" ht="21.95" customHeight="1" x14ac:dyDescent="0.2">
      <c r="A255" s="294" t="s">
        <v>2352</v>
      </c>
      <c r="B255" s="282">
        <v>0</v>
      </c>
      <c r="C255" s="281" t="s">
        <v>2462</v>
      </c>
      <c r="D255" s="281"/>
      <c r="E255" s="281"/>
      <c r="F255" s="281"/>
      <c r="G255" s="281"/>
      <c r="H255" s="215"/>
      <c r="I255" s="634" t="str">
        <f>IF(I57&lt;&gt;"",I57,"")</f>
        <v/>
      </c>
      <c r="J255" s="635"/>
      <c r="K255" s="635"/>
      <c r="L255" s="635"/>
      <c r="M255" s="635"/>
      <c r="N255" s="635"/>
      <c r="O255" s="635"/>
      <c r="P255" s="635"/>
      <c r="Q255" s="635"/>
      <c r="R255" s="635"/>
      <c r="S255" s="635"/>
      <c r="T255" s="635"/>
      <c r="U255" s="635"/>
      <c r="V255" s="635"/>
      <c r="W255" s="636"/>
      <c r="X255" s="153"/>
      <c r="Y255" s="194"/>
    </row>
    <row r="256" spans="1:25" ht="21.95" customHeight="1" x14ac:dyDescent="0.2">
      <c r="A256" s="294" t="s">
        <v>2353</v>
      </c>
      <c r="B256" s="282" t="b">
        <f>(B255&gt;0)</f>
        <v>0</v>
      </c>
      <c r="C256" s="281"/>
      <c r="D256" s="281"/>
      <c r="E256" s="281"/>
      <c r="F256" s="281"/>
      <c r="G256" s="281"/>
      <c r="H256" s="215"/>
      <c r="I256" s="204" t="s">
        <v>3440</v>
      </c>
      <c r="J256" s="153"/>
      <c r="K256" s="194"/>
      <c r="L256" s="153"/>
      <c r="M256" s="194"/>
      <c r="N256" s="153"/>
      <c r="O256" s="194"/>
      <c r="P256" s="153"/>
      <c r="Q256" s="194"/>
      <c r="R256" s="153"/>
      <c r="S256" s="194"/>
      <c r="T256" s="153"/>
      <c r="U256" s="194"/>
      <c r="V256" s="153"/>
      <c r="W256" s="194"/>
      <c r="X256" s="153"/>
      <c r="Y256" s="194"/>
    </row>
    <row r="257" spans="1:25" ht="20.100000000000001" customHeight="1" x14ac:dyDescent="0.2">
      <c r="A257" s="285" t="s">
        <v>317</v>
      </c>
      <c r="B257" s="305" t="str">
        <f>C257&amp;" "&amp;B297</f>
        <v>Targeting to Lower-Income Households (Maximum Points: 20)</v>
      </c>
      <c r="C257" s="287" t="s">
        <v>3820</v>
      </c>
      <c r="D257" s="287"/>
      <c r="E257" s="287"/>
      <c r="F257" s="287"/>
      <c r="G257" s="172" t="str">
        <f>B291</f>
        <v>Targeting</v>
      </c>
      <c r="H257" s="215"/>
      <c r="I257" s="466"/>
      <c r="J257" s="467"/>
      <c r="K257" s="467"/>
      <c r="L257" s="467"/>
      <c r="M257" s="467"/>
      <c r="N257" s="467"/>
      <c r="O257" s="467"/>
      <c r="P257" s="467"/>
      <c r="Q257" s="467"/>
      <c r="R257" s="467"/>
      <c r="S257" s="467"/>
      <c r="T257" s="467"/>
      <c r="U257" s="467"/>
      <c r="V257" s="467"/>
      <c r="W257" s="468"/>
      <c r="X257" s="165">
        <f ca="1">G213</f>
        <v>1</v>
      </c>
      <c r="Y257" s="194"/>
    </row>
    <row r="258" spans="1:25" ht="21.95" customHeight="1" x14ac:dyDescent="0.2">
      <c r="A258" s="273" t="s">
        <v>2874</v>
      </c>
      <c r="B258" s="296" t="str">
        <f ca="1">VLOOKUP(A258,'$DB.DATA'!D:H,5,FALSE)</f>
        <v/>
      </c>
      <c r="C258" s="281">
        <f ca="1">VLOOKUP(A258,DB_TBL_DATA_FIELDS[[FIELD_ID]:[PCT_CALC_FIELD_STATUS_CODE]],22,FALSE)</f>
        <v>1</v>
      </c>
      <c r="D258" s="281" t="str">
        <f ca="1">IF(VLOOKUP(A258,DB_TBL_DATA_FIELDS[[FIELD_ID]:[ERROR_MESSAGE]],23,FALSE)&lt;&gt;0,VLOOKUP(A258,DB_TBL_DATA_FIELDS[[FIELD_ID]:[ERROR_MESSAGE]],23,FALSE),"")</f>
        <v/>
      </c>
      <c r="E258" s="281">
        <f>VLOOKUP(A258,DB_TBL_DATA_FIELDS[[#All],[FIELD_ID]:[RANGE_VALIDATION_MAX]],18,FALSE)</f>
        <v>1</v>
      </c>
      <c r="F258" s="281">
        <f>VLOOKUP(A258,DB_TBL_DATA_FIELDS[[#All],[FIELD_ID]:[RANGE_VALIDATION_MAX]],19,FALSE)</f>
        <v>999999999999</v>
      </c>
      <c r="G258" s="281">
        <f ca="1">IF(C258&lt;0,"",C258)</f>
        <v>1</v>
      </c>
      <c r="H258" s="215"/>
      <c r="X258" s="153"/>
      <c r="Y258" s="194"/>
    </row>
    <row r="259" spans="1:25" ht="21.95" customHeight="1" thickBot="1" x14ac:dyDescent="0.25">
      <c r="A259" s="273" t="s">
        <v>2878</v>
      </c>
      <c r="B259" s="288" t="str">
        <f>IF(Q373&lt;&gt;"",Q373,"")</f>
        <v/>
      </c>
      <c r="C259" s="281">
        <f ca="1">VLOOKUP(A259,DB_TBL_DATA_FIELDS[[FIELD_ID]:[PCT_CALC_FIELD_STATUS_CODE]],22,FALSE)</f>
        <v>-1</v>
      </c>
      <c r="D259" s="281" t="str">
        <f>IF(VLOOKUP(A259,DB_TBL_DATA_FIELDS[[FIELD_ID]:[ERROR_MESSAGE]],23,FALSE)&lt;&gt;0,VLOOKUP(A259,DB_TBL_DATA_FIELDS[[FIELD_ID]:[ERROR_MESSAGE]],23,FALSE),"")</f>
        <v/>
      </c>
      <c r="E259" s="281">
        <f>VLOOKUP(A259,DB_TBL_DATA_FIELDS[[#All],[FIELD_ID]:[RANGE_VALIDATION_MAX]],18,FALSE)</f>
        <v>0</v>
      </c>
      <c r="F259" s="281">
        <f>VLOOKUP(A259,DB_TBL_DATA_FIELDS[[#All],[FIELD_ID]:[RANGE_VALIDATION_MAX]],19,FALSE)</f>
        <v>999999999999</v>
      </c>
      <c r="G259" s="281" t="str">
        <f t="shared" ref="G259:G280" ca="1" si="27">IF(C259&lt;0,"",C259)</f>
        <v/>
      </c>
      <c r="H259" s="215"/>
      <c r="I259" s="216" t="s">
        <v>3932</v>
      </c>
      <c r="J259" s="217"/>
      <c r="K259" s="223"/>
      <c r="L259" s="217"/>
      <c r="M259" s="223"/>
      <c r="N259" s="217"/>
      <c r="O259" s="223"/>
      <c r="P259" s="217"/>
      <c r="Q259" s="223"/>
      <c r="R259" s="217"/>
      <c r="S259" s="223"/>
      <c r="T259" s="217"/>
      <c r="U259" s="223"/>
      <c r="V259" s="217"/>
      <c r="W259" s="223"/>
      <c r="X259" s="251" t="str">
        <f ca="1">IF($C$229=1,1,"")</f>
        <v/>
      </c>
      <c r="Y259" s="194"/>
    </row>
    <row r="260" spans="1:25" ht="21.95" customHeight="1" thickTop="1" x14ac:dyDescent="0.2">
      <c r="A260" s="273" t="s">
        <v>2897</v>
      </c>
      <c r="B260" s="288" t="str">
        <f t="shared" ref="B260:B268" si="28">IF(Q374&lt;&gt;"",Q374,"")</f>
        <v/>
      </c>
      <c r="C260" s="281">
        <f ca="1">VLOOKUP(A260,DB_TBL_DATA_FIELDS[[FIELD_ID]:[PCT_CALC_FIELD_STATUS_CODE]],22,FALSE)</f>
        <v>-1</v>
      </c>
      <c r="D260" s="281" t="str">
        <f>IF(VLOOKUP(A260,DB_TBL_DATA_FIELDS[[FIELD_ID]:[ERROR_MESSAGE]],23,FALSE)&lt;&gt;0,VLOOKUP(A260,DB_TBL_DATA_FIELDS[[FIELD_ID]:[ERROR_MESSAGE]],23,FALSE),"")</f>
        <v/>
      </c>
      <c r="E260" s="281">
        <f>VLOOKUP(A260,DB_TBL_DATA_FIELDS[[#All],[FIELD_ID]:[RANGE_VALIDATION_MAX]],18,FALSE)</f>
        <v>0</v>
      </c>
      <c r="F260" s="281">
        <f>VLOOKUP(A260,DB_TBL_DATA_FIELDS[[#All],[FIELD_ID]:[RANGE_VALIDATION_MAX]],19,FALSE)</f>
        <v>999999999999</v>
      </c>
      <c r="G260" s="281" t="str">
        <f t="shared" ca="1" si="27"/>
        <v/>
      </c>
      <c r="H260" s="215"/>
      <c r="I260" s="406" t="str">
        <f ca="1">IF($C$229=1,$B$229,"")</f>
        <v/>
      </c>
      <c r="J260" s="406"/>
      <c r="K260" s="406"/>
      <c r="L260" s="406"/>
      <c r="M260" s="406"/>
      <c r="N260" s="406"/>
      <c r="O260" s="406"/>
      <c r="P260" s="406"/>
      <c r="Q260" s="406"/>
      <c r="R260" s="406"/>
      <c r="S260" s="406"/>
      <c r="T260" s="406"/>
      <c r="U260" s="406"/>
      <c r="V260" s="406"/>
      <c r="W260" s="406"/>
      <c r="X260" s="153"/>
      <c r="Y260" s="194"/>
    </row>
    <row r="261" spans="1:25" ht="21.95" customHeight="1" x14ac:dyDescent="0.2">
      <c r="A261" s="273" t="s">
        <v>2895</v>
      </c>
      <c r="B261" s="288" t="str">
        <f t="shared" si="28"/>
        <v/>
      </c>
      <c r="C261" s="281">
        <f ca="1">VLOOKUP(A261,DB_TBL_DATA_FIELDS[[FIELD_ID]:[PCT_CALC_FIELD_STATUS_CODE]],22,FALSE)</f>
        <v>-1</v>
      </c>
      <c r="D261" s="281" t="str">
        <f>IF(VLOOKUP(A261,DB_TBL_DATA_FIELDS[[FIELD_ID]:[ERROR_MESSAGE]],23,FALSE)&lt;&gt;0,VLOOKUP(A261,DB_TBL_DATA_FIELDS[[FIELD_ID]:[ERROR_MESSAGE]],23,FALSE),"")</f>
        <v/>
      </c>
      <c r="E261" s="281">
        <f>VLOOKUP(A261,DB_TBL_DATA_FIELDS[[#All],[FIELD_ID]:[RANGE_VALIDATION_MAX]],18,FALSE)</f>
        <v>0</v>
      </c>
      <c r="F261" s="281">
        <f>VLOOKUP(A261,DB_TBL_DATA_FIELDS[[#All],[FIELD_ID]:[RANGE_VALIDATION_MAX]],19,FALSE)</f>
        <v>999999999999</v>
      </c>
      <c r="G261" s="281" t="str">
        <f t="shared" ca="1" si="27"/>
        <v/>
      </c>
      <c r="H261" s="215"/>
      <c r="I261" s="455" t="s">
        <v>3742</v>
      </c>
      <c r="J261" s="455"/>
      <c r="K261" s="455"/>
      <c r="L261" s="455"/>
      <c r="M261" s="455"/>
      <c r="N261" s="455"/>
      <c r="O261" s="455"/>
      <c r="P261" s="455"/>
      <c r="Q261" s="455"/>
      <c r="R261" s="455"/>
      <c r="S261" s="455"/>
      <c r="T261" s="455"/>
      <c r="U261" s="455"/>
      <c r="V261" s="455"/>
      <c r="W261" s="455"/>
      <c r="X261" s="153"/>
      <c r="Y261" s="194"/>
    </row>
    <row r="262" spans="1:25" ht="21.95" customHeight="1" x14ac:dyDescent="0.2">
      <c r="A262" s="273" t="s">
        <v>2893</v>
      </c>
      <c r="B262" s="288" t="str">
        <f t="shared" si="28"/>
        <v/>
      </c>
      <c r="C262" s="281">
        <f ca="1">VLOOKUP(A262,DB_TBL_DATA_FIELDS[[FIELD_ID]:[PCT_CALC_FIELD_STATUS_CODE]],22,FALSE)</f>
        <v>-1</v>
      </c>
      <c r="D262" s="281" t="str">
        <f>IF(VLOOKUP(A262,DB_TBL_DATA_FIELDS[[FIELD_ID]:[ERROR_MESSAGE]],23,FALSE)&lt;&gt;0,VLOOKUP(A262,DB_TBL_DATA_FIELDS[[FIELD_ID]:[ERROR_MESSAGE]],23,FALSE),"")</f>
        <v/>
      </c>
      <c r="E262" s="281">
        <f>VLOOKUP(A262,DB_TBL_DATA_FIELDS[[#All],[FIELD_ID]:[RANGE_VALIDATION_MAX]],18,FALSE)</f>
        <v>0</v>
      </c>
      <c r="F262" s="281">
        <f>VLOOKUP(A262,DB_TBL_DATA_FIELDS[[#All],[FIELD_ID]:[RANGE_VALIDATION_MAX]],19,FALSE)</f>
        <v>999999999999</v>
      </c>
      <c r="G262" s="281" t="str">
        <f t="shared" ca="1" si="27"/>
        <v/>
      </c>
      <c r="H262" s="215"/>
      <c r="I262" s="455"/>
      <c r="J262" s="455"/>
      <c r="K262" s="455"/>
      <c r="L262" s="455"/>
      <c r="M262" s="455"/>
      <c r="N262" s="455"/>
      <c r="O262" s="455"/>
      <c r="P262" s="455"/>
      <c r="Q262" s="455"/>
      <c r="R262" s="455"/>
      <c r="S262" s="455"/>
      <c r="T262" s="455"/>
      <c r="U262" s="455"/>
      <c r="V262" s="455"/>
      <c r="W262" s="455"/>
      <c r="X262" s="153"/>
      <c r="Y262" s="194"/>
    </row>
    <row r="263" spans="1:25" ht="21.95" customHeight="1" x14ac:dyDescent="0.2">
      <c r="A263" s="273" t="s">
        <v>2891</v>
      </c>
      <c r="B263" s="288" t="str">
        <f t="shared" si="28"/>
        <v/>
      </c>
      <c r="C263" s="281">
        <f ca="1">VLOOKUP(A263,DB_TBL_DATA_FIELDS[[FIELD_ID]:[PCT_CALC_FIELD_STATUS_CODE]],22,FALSE)</f>
        <v>-1</v>
      </c>
      <c r="D263" s="281" t="str">
        <f>IF(VLOOKUP(A263,DB_TBL_DATA_FIELDS[[FIELD_ID]:[ERROR_MESSAGE]],23,FALSE)&lt;&gt;0,VLOOKUP(A263,DB_TBL_DATA_FIELDS[[FIELD_ID]:[ERROR_MESSAGE]],23,FALSE),"")</f>
        <v/>
      </c>
      <c r="E263" s="281">
        <f>VLOOKUP(A263,DB_TBL_DATA_FIELDS[[#All],[FIELD_ID]:[RANGE_VALIDATION_MAX]],18,FALSE)</f>
        <v>0</v>
      </c>
      <c r="F263" s="281">
        <f>VLOOKUP(A263,DB_TBL_DATA_FIELDS[[#All],[FIELD_ID]:[RANGE_VALIDATION_MAX]],19,FALSE)</f>
        <v>999999999999</v>
      </c>
      <c r="G263" s="281" t="str">
        <f t="shared" ca="1" si="27"/>
        <v/>
      </c>
      <c r="H263" s="215"/>
      <c r="I263" s="389" t="s">
        <v>3741</v>
      </c>
      <c r="J263" s="153"/>
      <c r="K263" s="194"/>
      <c r="L263" s="153"/>
      <c r="M263" s="194"/>
      <c r="N263" s="153"/>
      <c r="O263" s="194"/>
      <c r="P263" s="153"/>
      <c r="Q263" s="194"/>
      <c r="R263" s="153"/>
      <c r="S263" s="194"/>
      <c r="T263" s="153"/>
      <c r="U263" s="194"/>
      <c r="V263" s="153"/>
      <c r="W263" s="380"/>
      <c r="X263" s="165">
        <f ca="1">G216</f>
        <v>1</v>
      </c>
      <c r="Y263" s="194"/>
    </row>
    <row r="264" spans="1:25" ht="21.95" customHeight="1" x14ac:dyDescent="0.2">
      <c r="A264" s="273" t="s">
        <v>2889</v>
      </c>
      <c r="B264" s="288" t="str">
        <f t="shared" si="28"/>
        <v/>
      </c>
      <c r="C264" s="281">
        <f ca="1">VLOOKUP(A264,DB_TBL_DATA_FIELDS[[FIELD_ID]:[PCT_CALC_FIELD_STATUS_CODE]],22,FALSE)</f>
        <v>-1</v>
      </c>
      <c r="D264" s="281" t="str">
        <f>IF(VLOOKUP(A264,DB_TBL_DATA_FIELDS[[FIELD_ID]:[ERROR_MESSAGE]],23,FALSE)&lt;&gt;0,VLOOKUP(A264,DB_TBL_DATA_FIELDS[[FIELD_ID]:[ERROR_MESSAGE]],23,FALSE),"")</f>
        <v/>
      </c>
      <c r="E264" s="281">
        <f>VLOOKUP(A264,DB_TBL_DATA_FIELDS[[#All],[FIELD_ID]:[RANGE_VALIDATION_MAX]],18,FALSE)</f>
        <v>0</v>
      </c>
      <c r="F264" s="281">
        <f>VLOOKUP(A264,DB_TBL_DATA_FIELDS[[#All],[FIELD_ID]:[RANGE_VALIDATION_MAX]],19,FALSE)</f>
        <v>999999999999</v>
      </c>
      <c r="G264" s="281" t="str">
        <f t="shared" ca="1" si="27"/>
        <v/>
      </c>
      <c r="H264" s="215"/>
      <c r="I264" s="405"/>
      <c r="J264" s="405"/>
      <c r="K264" s="405"/>
      <c r="L264" s="405"/>
      <c r="M264" s="405"/>
      <c r="N264" s="405"/>
      <c r="O264" s="405"/>
      <c r="P264" s="405"/>
      <c r="Q264" s="405"/>
      <c r="R264" s="405"/>
      <c r="S264" s="405"/>
      <c r="T264" s="405"/>
      <c r="U264" s="405"/>
      <c r="V264" s="405"/>
      <c r="W264" s="405"/>
      <c r="X264" s="153"/>
      <c r="Y264" s="194"/>
    </row>
    <row r="265" spans="1:25" ht="21.95" customHeight="1" x14ac:dyDescent="0.2">
      <c r="A265" s="273" t="s">
        <v>2887</v>
      </c>
      <c r="B265" s="288" t="str">
        <f t="shared" si="28"/>
        <v/>
      </c>
      <c r="C265" s="281">
        <f ca="1">VLOOKUP(A265,DB_TBL_DATA_FIELDS[[FIELD_ID]:[PCT_CALC_FIELD_STATUS_CODE]],22,FALSE)</f>
        <v>-1</v>
      </c>
      <c r="D265" s="281" t="str">
        <f>IF(VLOOKUP(A265,DB_TBL_DATA_FIELDS[[FIELD_ID]:[ERROR_MESSAGE]],23,FALSE)&lt;&gt;0,VLOOKUP(A265,DB_TBL_DATA_FIELDS[[FIELD_ID]:[ERROR_MESSAGE]],23,FALSE),"")</f>
        <v/>
      </c>
      <c r="E265" s="281">
        <f>VLOOKUP(A265,DB_TBL_DATA_FIELDS[[#All],[FIELD_ID]:[RANGE_VALIDATION_MAX]],18,FALSE)</f>
        <v>0</v>
      </c>
      <c r="F265" s="281">
        <f>VLOOKUP(A265,DB_TBL_DATA_FIELDS[[#All],[FIELD_ID]:[RANGE_VALIDATION_MAX]],19,FALSE)</f>
        <v>999999999999</v>
      </c>
      <c r="G265" s="281" t="str">
        <f t="shared" ca="1" si="27"/>
        <v/>
      </c>
      <c r="H265" s="215"/>
      <c r="I265" s="744" t="s">
        <v>3743</v>
      </c>
      <c r="J265" s="744"/>
      <c r="K265" s="744"/>
      <c r="L265" s="744"/>
      <c r="M265" s="744"/>
      <c r="N265" s="744"/>
      <c r="O265" s="744"/>
      <c r="P265" s="744"/>
      <c r="Q265" s="744"/>
      <c r="R265" s="744"/>
      <c r="S265" s="744"/>
      <c r="T265" s="744"/>
      <c r="U265" s="744"/>
      <c r="V265" s="744"/>
      <c r="W265" s="744"/>
      <c r="X265" s="153"/>
      <c r="Y265" s="194"/>
    </row>
    <row r="266" spans="1:25" ht="21.95" customHeight="1" x14ac:dyDescent="0.2">
      <c r="A266" s="273" t="s">
        <v>2885</v>
      </c>
      <c r="B266" s="288" t="str">
        <f t="shared" si="28"/>
        <v/>
      </c>
      <c r="C266" s="281">
        <f ca="1">VLOOKUP(A266,DB_TBL_DATA_FIELDS[[FIELD_ID]:[PCT_CALC_FIELD_STATUS_CODE]],22,FALSE)</f>
        <v>-1</v>
      </c>
      <c r="D266" s="281" t="str">
        <f>IF(VLOOKUP(A266,DB_TBL_DATA_FIELDS[[FIELD_ID]:[ERROR_MESSAGE]],23,FALSE)&lt;&gt;0,VLOOKUP(A266,DB_TBL_DATA_FIELDS[[FIELD_ID]:[ERROR_MESSAGE]],23,FALSE),"")</f>
        <v/>
      </c>
      <c r="E266" s="281">
        <f>VLOOKUP(A266,DB_TBL_DATA_FIELDS[[#All],[FIELD_ID]:[RANGE_VALIDATION_MAX]],18,FALSE)</f>
        <v>0</v>
      </c>
      <c r="F266" s="281">
        <f>VLOOKUP(A266,DB_TBL_DATA_FIELDS[[#All],[FIELD_ID]:[RANGE_VALIDATION_MAX]],19,FALSE)</f>
        <v>999999999999</v>
      </c>
      <c r="G266" s="281" t="str">
        <f t="shared" ca="1" si="27"/>
        <v/>
      </c>
      <c r="H266" s="215"/>
      <c r="I266" s="744"/>
      <c r="J266" s="744"/>
      <c r="K266" s="744"/>
      <c r="L266" s="744"/>
      <c r="M266" s="744"/>
      <c r="N266" s="744"/>
      <c r="O266" s="744"/>
      <c r="P266" s="744"/>
      <c r="Q266" s="744"/>
      <c r="R266" s="744"/>
      <c r="S266" s="744"/>
      <c r="T266" s="744"/>
      <c r="U266" s="744"/>
      <c r="V266" s="744"/>
      <c r="W266" s="744"/>
      <c r="X266" s="153"/>
      <c r="Y266" s="194"/>
    </row>
    <row r="267" spans="1:25" ht="21.95" customHeight="1" x14ac:dyDescent="0.2">
      <c r="A267" s="273" t="s">
        <v>2883</v>
      </c>
      <c r="B267" s="288" t="str">
        <f t="shared" si="28"/>
        <v/>
      </c>
      <c r="C267" s="281">
        <f ca="1">VLOOKUP(A267,DB_TBL_DATA_FIELDS[[FIELD_ID]:[PCT_CALC_FIELD_STATUS_CODE]],22,FALSE)</f>
        <v>-1</v>
      </c>
      <c r="D267" s="281" t="str">
        <f>IF(VLOOKUP(A267,DB_TBL_DATA_FIELDS[[FIELD_ID]:[ERROR_MESSAGE]],23,FALSE)&lt;&gt;0,VLOOKUP(A267,DB_TBL_DATA_FIELDS[[FIELD_ID]:[ERROR_MESSAGE]],23,FALSE),"")</f>
        <v/>
      </c>
      <c r="E267" s="281">
        <f>VLOOKUP(A267,DB_TBL_DATA_FIELDS[[#All],[FIELD_ID]:[RANGE_VALIDATION_MAX]],18,FALSE)</f>
        <v>0</v>
      </c>
      <c r="F267" s="281">
        <f>VLOOKUP(A267,DB_TBL_DATA_FIELDS[[#All],[FIELD_ID]:[RANGE_VALIDATION_MAX]],19,FALSE)</f>
        <v>999999999999</v>
      </c>
      <c r="G267" s="281" t="str">
        <f t="shared" ca="1" si="27"/>
        <v/>
      </c>
      <c r="H267" s="215"/>
      <c r="I267" s="744"/>
      <c r="J267" s="744"/>
      <c r="K267" s="744"/>
      <c r="L267" s="744"/>
      <c r="M267" s="744"/>
      <c r="N267" s="744"/>
      <c r="O267" s="744"/>
      <c r="P267" s="744"/>
      <c r="Q267" s="744"/>
      <c r="R267" s="744"/>
      <c r="S267" s="744"/>
      <c r="T267" s="744"/>
      <c r="U267" s="744"/>
      <c r="V267" s="744"/>
      <c r="W267" s="744"/>
      <c r="X267" s="153"/>
      <c r="Y267" s="194"/>
    </row>
    <row r="268" spans="1:25" ht="21.95" customHeight="1" x14ac:dyDescent="0.2">
      <c r="A268" s="273" t="s">
        <v>2880</v>
      </c>
      <c r="B268" s="288" t="str">
        <f t="shared" si="28"/>
        <v/>
      </c>
      <c r="C268" s="281">
        <f ca="1">VLOOKUP(A268,DB_TBL_DATA_FIELDS[[FIELD_ID]:[PCT_CALC_FIELD_STATUS_CODE]],22,FALSE)</f>
        <v>-1</v>
      </c>
      <c r="D268" s="281" t="str">
        <f>IF(VLOOKUP(A268,DB_TBL_DATA_FIELDS[[FIELD_ID]:[ERROR_MESSAGE]],23,FALSE)&lt;&gt;0,VLOOKUP(A268,DB_TBL_DATA_FIELDS[[FIELD_ID]:[ERROR_MESSAGE]],23,FALSE),"")</f>
        <v/>
      </c>
      <c r="E268" s="281">
        <f>VLOOKUP(A268,DB_TBL_DATA_FIELDS[[#All],[FIELD_ID]:[RANGE_VALIDATION_MAX]],18,FALSE)</f>
        <v>0</v>
      </c>
      <c r="F268" s="281">
        <f>VLOOKUP(A268,DB_TBL_DATA_FIELDS[[#All],[FIELD_ID]:[RANGE_VALIDATION_MAX]],19,FALSE)</f>
        <v>999999999999</v>
      </c>
      <c r="G268" s="281" t="str">
        <f t="shared" ca="1" si="27"/>
        <v/>
      </c>
      <c r="H268" s="215"/>
      <c r="I268" s="744"/>
      <c r="J268" s="744"/>
      <c r="K268" s="744"/>
      <c r="L268" s="744"/>
      <c r="M268" s="744"/>
      <c r="N268" s="744"/>
      <c r="O268" s="744"/>
      <c r="P268" s="744"/>
      <c r="Q268" s="744"/>
      <c r="R268" s="744"/>
      <c r="S268" s="744"/>
      <c r="T268" s="744"/>
      <c r="U268" s="744"/>
      <c r="V268" s="744"/>
      <c r="W268" s="744"/>
      <c r="X268" s="153"/>
      <c r="Y268" s="194"/>
    </row>
    <row r="269" spans="1:25" ht="21.95" customHeight="1" x14ac:dyDescent="0.2">
      <c r="A269" s="273" t="s">
        <v>3400</v>
      </c>
      <c r="B269" s="288" t="str">
        <f t="shared" ref="B269:B270" si="29">IF(Q383&lt;&gt;"",Q383,"")</f>
        <v/>
      </c>
      <c r="C269" s="281">
        <f ca="1">VLOOKUP(A269,DB_TBL_DATA_FIELDS[[FIELD_ID]:[PCT_CALC_FIELD_STATUS_CODE]],22,FALSE)</f>
        <v>-1</v>
      </c>
      <c r="D269" s="281" t="str">
        <f>IF(VLOOKUP(A269,DB_TBL_DATA_FIELDS[[FIELD_ID]:[ERROR_MESSAGE]],23,FALSE)&lt;&gt;0,VLOOKUP(A269,DB_TBL_DATA_FIELDS[[FIELD_ID]:[ERROR_MESSAGE]],23,FALSE),"")</f>
        <v/>
      </c>
      <c r="E269" s="281">
        <f>VLOOKUP(A269,DB_TBL_DATA_FIELDS[[#All],[FIELD_ID]:[RANGE_VALIDATION_MAX]],18,FALSE)</f>
        <v>0</v>
      </c>
      <c r="F269" s="281">
        <f>VLOOKUP(A269,DB_TBL_DATA_FIELDS[[#All],[FIELD_ID]:[RANGE_VALIDATION_MAX]],19,FALSE)</f>
        <v>999999999999</v>
      </c>
      <c r="G269" s="281" t="str">
        <f t="shared" ref="G269:G270" ca="1" si="30">IF(C269&lt;0,"",C269)</f>
        <v/>
      </c>
      <c r="H269" s="215"/>
      <c r="I269" s="744"/>
      <c r="J269" s="744"/>
      <c r="K269" s="744"/>
      <c r="L269" s="744"/>
      <c r="M269" s="744"/>
      <c r="N269" s="744"/>
      <c r="O269" s="744"/>
      <c r="P269" s="744"/>
      <c r="Q269" s="744"/>
      <c r="R269" s="744"/>
      <c r="S269" s="744"/>
      <c r="T269" s="744"/>
      <c r="U269" s="744"/>
      <c r="V269" s="744"/>
      <c r="W269" s="744"/>
      <c r="X269" s="153"/>
      <c r="Y269" s="194"/>
    </row>
    <row r="270" spans="1:25" ht="21.95" customHeight="1" x14ac:dyDescent="0.2">
      <c r="A270" s="273" t="s">
        <v>3401</v>
      </c>
      <c r="B270" s="288" t="str">
        <f t="shared" si="29"/>
        <v/>
      </c>
      <c r="C270" s="281">
        <f ca="1">VLOOKUP(A270,DB_TBL_DATA_FIELDS[[FIELD_ID]:[PCT_CALC_FIELD_STATUS_CODE]],22,FALSE)</f>
        <v>-1</v>
      </c>
      <c r="D270" s="281" t="str">
        <f>IF(VLOOKUP(A270,DB_TBL_DATA_FIELDS[[FIELD_ID]:[ERROR_MESSAGE]],23,FALSE)&lt;&gt;0,VLOOKUP(A270,DB_TBL_DATA_FIELDS[[FIELD_ID]:[ERROR_MESSAGE]],23,FALSE),"")</f>
        <v/>
      </c>
      <c r="E270" s="281">
        <f>VLOOKUP(A270,DB_TBL_DATA_FIELDS[[#All],[FIELD_ID]:[RANGE_VALIDATION_MAX]],18,FALSE)</f>
        <v>0</v>
      </c>
      <c r="F270" s="281">
        <f>VLOOKUP(A270,DB_TBL_DATA_FIELDS[[#All],[FIELD_ID]:[RANGE_VALIDATION_MAX]],19,FALSE)</f>
        <v>999999999999</v>
      </c>
      <c r="G270" s="281" t="str">
        <f t="shared" ca="1" si="30"/>
        <v/>
      </c>
      <c r="H270" s="215"/>
      <c r="I270" s="744"/>
      <c r="J270" s="744"/>
      <c r="K270" s="744"/>
      <c r="L270" s="744"/>
      <c r="M270" s="744"/>
      <c r="N270" s="744"/>
      <c r="O270" s="744"/>
      <c r="P270" s="744"/>
      <c r="Q270" s="744"/>
      <c r="R270" s="744"/>
      <c r="S270" s="744"/>
      <c r="T270" s="744"/>
      <c r="U270" s="744"/>
      <c r="V270" s="744"/>
      <c r="W270" s="744"/>
      <c r="X270" s="153"/>
      <c r="Y270" s="194"/>
    </row>
    <row r="271" spans="1:25" ht="21.95" customHeight="1" x14ac:dyDescent="0.2">
      <c r="A271" s="273" t="s">
        <v>2879</v>
      </c>
      <c r="B271" s="288" t="str">
        <f>IF(U373&lt;&gt;"",U373,"")</f>
        <v/>
      </c>
      <c r="C271" s="281">
        <f ca="1">VLOOKUP(A271,DB_TBL_DATA_FIELDS[[FIELD_ID]:[PCT_CALC_FIELD_STATUS_CODE]],22,FALSE)</f>
        <v>-1</v>
      </c>
      <c r="D271" s="281" t="str">
        <f>IF(VLOOKUP(A271,DB_TBL_DATA_FIELDS[[FIELD_ID]:[ERROR_MESSAGE]],23,FALSE)&lt;&gt;0,VLOOKUP(A271,DB_TBL_DATA_FIELDS[[FIELD_ID]:[ERROR_MESSAGE]],23,FALSE),"")</f>
        <v/>
      </c>
      <c r="E271" s="281">
        <f>VLOOKUP(A271,DB_TBL_DATA_FIELDS[[#All],[FIELD_ID]:[RANGE_VALIDATION_MAX]],18,FALSE)</f>
        <v>0</v>
      </c>
      <c r="F271" s="281">
        <f>VLOOKUP(A271,DB_TBL_DATA_FIELDS[[#All],[FIELD_ID]:[RANGE_VALIDATION_MAX]],19,FALSE)</f>
        <v>0.8</v>
      </c>
      <c r="G271" s="281" t="str">
        <f t="shared" ca="1" si="27"/>
        <v/>
      </c>
      <c r="H271" s="215"/>
      <c r="I271" s="389" t="s">
        <v>3744</v>
      </c>
      <c r="J271" s="153"/>
      <c r="K271" s="194"/>
      <c r="L271" s="153"/>
      <c r="M271" s="194"/>
      <c r="N271" s="153"/>
      <c r="O271" s="194"/>
      <c r="P271" s="153"/>
      <c r="Q271" s="194"/>
      <c r="R271" s="153"/>
      <c r="S271" s="194"/>
      <c r="T271" s="153"/>
      <c r="U271" s="194"/>
      <c r="V271" s="153"/>
      <c r="W271" s="380"/>
      <c r="X271" s="165">
        <f ca="1">G217</f>
        <v>1</v>
      </c>
      <c r="Y271" s="194"/>
    </row>
    <row r="272" spans="1:25" ht="21.95" customHeight="1" x14ac:dyDescent="0.2">
      <c r="A272" s="273" t="s">
        <v>2896</v>
      </c>
      <c r="B272" s="288" t="str">
        <f t="shared" ref="B272:B280" si="31">IF(U374&lt;&gt;"",U374,"")</f>
        <v/>
      </c>
      <c r="C272" s="281">
        <f ca="1">VLOOKUP(A272,DB_TBL_DATA_FIELDS[[FIELD_ID]:[PCT_CALC_FIELD_STATUS_CODE]],22,FALSE)</f>
        <v>-1</v>
      </c>
      <c r="D272" s="281" t="str">
        <f>IF(VLOOKUP(A272,DB_TBL_DATA_FIELDS[[FIELD_ID]:[ERROR_MESSAGE]],23,FALSE)&lt;&gt;0,VLOOKUP(A272,DB_TBL_DATA_FIELDS[[FIELD_ID]:[ERROR_MESSAGE]],23,FALSE),"")</f>
        <v/>
      </c>
      <c r="E272" s="281">
        <f>VLOOKUP(A272,DB_TBL_DATA_FIELDS[[#All],[FIELD_ID]:[RANGE_VALIDATION_MAX]],18,FALSE)</f>
        <v>0</v>
      </c>
      <c r="F272" s="281">
        <f>VLOOKUP(A272,DB_TBL_DATA_FIELDS[[#All],[FIELD_ID]:[RANGE_VALIDATION_MAX]],19,FALSE)</f>
        <v>0.8</v>
      </c>
      <c r="G272" s="281" t="str">
        <f t="shared" ca="1" si="27"/>
        <v/>
      </c>
      <c r="H272" s="215"/>
      <c r="I272" s="405"/>
      <c r="J272" s="405"/>
      <c r="K272" s="405"/>
      <c r="L272" s="405"/>
      <c r="M272" s="405"/>
      <c r="N272" s="405"/>
      <c r="O272" s="405"/>
      <c r="P272" s="405"/>
      <c r="Q272" s="405"/>
      <c r="R272" s="405"/>
      <c r="S272" s="405"/>
      <c r="T272" s="405"/>
      <c r="U272" s="405"/>
      <c r="V272" s="405"/>
      <c r="W272" s="405"/>
      <c r="X272" s="153"/>
      <c r="Y272" s="194"/>
    </row>
    <row r="273" spans="1:25" ht="33" customHeight="1" x14ac:dyDescent="0.2">
      <c r="A273" s="273" t="s">
        <v>2894</v>
      </c>
      <c r="B273" s="288" t="str">
        <f t="shared" si="31"/>
        <v/>
      </c>
      <c r="C273" s="281">
        <f ca="1">VLOOKUP(A273,DB_TBL_DATA_FIELDS[[FIELD_ID]:[PCT_CALC_FIELD_STATUS_CODE]],22,FALSE)</f>
        <v>-1</v>
      </c>
      <c r="D273" s="281" t="str">
        <f>IF(VLOOKUP(A273,DB_TBL_DATA_FIELDS[[FIELD_ID]:[ERROR_MESSAGE]],23,FALSE)&lt;&gt;0,VLOOKUP(A273,DB_TBL_DATA_FIELDS[[FIELD_ID]:[ERROR_MESSAGE]],23,FALSE),"")</f>
        <v/>
      </c>
      <c r="E273" s="281">
        <f>VLOOKUP(A273,DB_TBL_DATA_FIELDS[[#All],[FIELD_ID]:[RANGE_VALIDATION_MAX]],18,FALSE)</f>
        <v>0</v>
      </c>
      <c r="F273" s="281">
        <f>VLOOKUP(A273,DB_TBL_DATA_FIELDS[[#All],[FIELD_ID]:[RANGE_VALIDATION_MAX]],19,FALSE)</f>
        <v>0.8</v>
      </c>
      <c r="G273" s="281" t="str">
        <f t="shared" ca="1" si="27"/>
        <v/>
      </c>
      <c r="H273" s="215"/>
      <c r="I273" s="745" t="s">
        <v>3677</v>
      </c>
      <c r="J273" s="745"/>
      <c r="K273" s="745"/>
      <c r="L273" s="745"/>
      <c r="M273" s="745"/>
      <c r="N273" s="745"/>
      <c r="O273" s="745"/>
      <c r="P273" s="745"/>
      <c r="Q273" s="745"/>
      <c r="R273" s="745"/>
      <c r="S273" s="745"/>
      <c r="T273" s="745"/>
      <c r="U273" s="745"/>
      <c r="V273" s="745"/>
      <c r="W273" s="745"/>
      <c r="X273" s="153"/>
      <c r="Y273" s="194"/>
    </row>
    <row r="274" spans="1:25" ht="21.95" customHeight="1" x14ac:dyDescent="0.2">
      <c r="A274" s="273" t="s">
        <v>2892</v>
      </c>
      <c r="B274" s="288" t="str">
        <f t="shared" si="31"/>
        <v/>
      </c>
      <c r="C274" s="281">
        <f ca="1">VLOOKUP(A274,DB_TBL_DATA_FIELDS[[FIELD_ID]:[PCT_CALC_FIELD_STATUS_CODE]],22,FALSE)</f>
        <v>-1</v>
      </c>
      <c r="D274" s="281" t="str">
        <f>IF(VLOOKUP(A274,DB_TBL_DATA_FIELDS[[FIELD_ID]:[ERROR_MESSAGE]],23,FALSE)&lt;&gt;0,VLOOKUP(A274,DB_TBL_DATA_FIELDS[[FIELD_ID]:[ERROR_MESSAGE]],23,FALSE),"")</f>
        <v/>
      </c>
      <c r="E274" s="281">
        <f>VLOOKUP(A274,DB_TBL_DATA_FIELDS[[#All],[FIELD_ID]:[RANGE_VALIDATION_MAX]],18,FALSE)</f>
        <v>0</v>
      </c>
      <c r="F274" s="281">
        <f>VLOOKUP(A274,DB_TBL_DATA_FIELDS[[#All],[FIELD_ID]:[RANGE_VALIDATION_MAX]],19,FALSE)</f>
        <v>0.8</v>
      </c>
      <c r="G274" s="281" t="str">
        <f t="shared" ca="1" si="27"/>
        <v/>
      </c>
      <c r="H274" s="215"/>
      <c r="I274" s="245" t="s">
        <v>3734</v>
      </c>
      <c r="J274" s="345"/>
      <c r="K274" s="345"/>
      <c r="L274" s="345"/>
      <c r="M274" s="345"/>
      <c r="N274" s="345"/>
      <c r="O274" s="345"/>
      <c r="P274" s="345"/>
      <c r="Q274" s="345"/>
      <c r="R274" s="345"/>
      <c r="S274" s="345"/>
      <c r="T274" s="345"/>
      <c r="U274" s="345"/>
      <c r="V274" s="345"/>
      <c r="W274" s="175" t="str">
        <f>SUBSTITUTE(SUBSTITUTE(SUBSTITUTE(IF(LEN(B215)&gt;F215,CONFIG_CHAR_LIMIT_TEMPLATE_ERR,CONFIG_CHAR_LIMIT_TEMPLATE),"[diff]",ABS(LEN(B215)-F215)),"[limit]",F215),"[used]",LEN(B215))</f>
        <v>2000 character(s) remaining</v>
      </c>
      <c r="X274" s="153"/>
      <c r="Y274" s="194"/>
    </row>
    <row r="275" spans="1:25" ht="21.95" customHeight="1" x14ac:dyDescent="0.2">
      <c r="A275" s="273" t="s">
        <v>2890</v>
      </c>
      <c r="B275" s="288" t="str">
        <f t="shared" si="31"/>
        <v/>
      </c>
      <c r="C275" s="281">
        <f ca="1">VLOOKUP(A275,DB_TBL_DATA_FIELDS[[FIELD_ID]:[PCT_CALC_FIELD_STATUS_CODE]],22,FALSE)</f>
        <v>-1</v>
      </c>
      <c r="D275" s="281" t="str">
        <f>IF(VLOOKUP(A275,DB_TBL_DATA_FIELDS[[FIELD_ID]:[ERROR_MESSAGE]],23,FALSE)&lt;&gt;0,VLOOKUP(A275,DB_TBL_DATA_FIELDS[[FIELD_ID]:[ERROR_MESSAGE]],23,FALSE),"")</f>
        <v/>
      </c>
      <c r="E275" s="281">
        <f>VLOOKUP(A275,DB_TBL_DATA_FIELDS[[#All],[FIELD_ID]:[RANGE_VALIDATION_MAX]],18,FALSE)</f>
        <v>0</v>
      </c>
      <c r="F275" s="281">
        <f>VLOOKUP(A275,DB_TBL_DATA_FIELDS[[#All],[FIELD_ID]:[RANGE_VALIDATION_MAX]],19,FALSE)</f>
        <v>0.8</v>
      </c>
      <c r="G275" s="281" t="str">
        <f t="shared" ca="1" si="27"/>
        <v/>
      </c>
      <c r="H275" s="215"/>
      <c r="I275" s="500"/>
      <c r="J275" s="501"/>
      <c r="K275" s="501"/>
      <c r="L275" s="501"/>
      <c r="M275" s="501"/>
      <c r="N275" s="501"/>
      <c r="O275" s="501"/>
      <c r="P275" s="501"/>
      <c r="Q275" s="501"/>
      <c r="R275" s="501"/>
      <c r="S275" s="501"/>
      <c r="T275" s="501"/>
      <c r="U275" s="501"/>
      <c r="V275" s="501"/>
      <c r="W275" s="502"/>
      <c r="X275" s="165">
        <f ca="1">G215</f>
        <v>1</v>
      </c>
      <c r="Y275" s="194"/>
    </row>
    <row r="276" spans="1:25" ht="21.95" customHeight="1" x14ac:dyDescent="0.2">
      <c r="A276" s="273" t="s">
        <v>2888</v>
      </c>
      <c r="B276" s="288" t="str">
        <f t="shared" si="31"/>
        <v/>
      </c>
      <c r="C276" s="281">
        <f ca="1">VLOOKUP(A276,DB_TBL_DATA_FIELDS[[FIELD_ID]:[PCT_CALC_FIELD_STATUS_CODE]],22,FALSE)</f>
        <v>-1</v>
      </c>
      <c r="D276" s="281" t="str">
        <f>IF(VLOOKUP(A276,DB_TBL_DATA_FIELDS[[FIELD_ID]:[ERROR_MESSAGE]],23,FALSE)&lt;&gt;0,VLOOKUP(A276,DB_TBL_DATA_FIELDS[[FIELD_ID]:[ERROR_MESSAGE]],23,FALSE),"")</f>
        <v/>
      </c>
      <c r="E276" s="281">
        <f>VLOOKUP(A276,DB_TBL_DATA_FIELDS[[#All],[FIELD_ID]:[RANGE_VALIDATION_MAX]],18,FALSE)</f>
        <v>0</v>
      </c>
      <c r="F276" s="281">
        <f>VLOOKUP(A276,DB_TBL_DATA_FIELDS[[#All],[FIELD_ID]:[RANGE_VALIDATION_MAX]],19,FALSE)</f>
        <v>0.8</v>
      </c>
      <c r="G276" s="281" t="str">
        <f t="shared" ca="1" si="27"/>
        <v/>
      </c>
      <c r="H276" s="215"/>
      <c r="I276" s="503"/>
      <c r="J276" s="504"/>
      <c r="K276" s="504"/>
      <c r="L276" s="504"/>
      <c r="M276" s="504"/>
      <c r="N276" s="504"/>
      <c r="O276" s="504"/>
      <c r="P276" s="504"/>
      <c r="Q276" s="504"/>
      <c r="R276" s="504"/>
      <c r="S276" s="504"/>
      <c r="T276" s="504"/>
      <c r="U276" s="504"/>
      <c r="V276" s="504"/>
      <c r="W276" s="505"/>
      <c r="X276" s="153"/>
      <c r="Y276" s="194"/>
    </row>
    <row r="277" spans="1:25" ht="21.95" customHeight="1" x14ac:dyDescent="0.2">
      <c r="A277" s="273" t="s">
        <v>2886</v>
      </c>
      <c r="B277" s="288" t="str">
        <f t="shared" si="31"/>
        <v/>
      </c>
      <c r="C277" s="281">
        <f ca="1">VLOOKUP(A277,DB_TBL_DATA_FIELDS[[FIELD_ID]:[PCT_CALC_FIELD_STATUS_CODE]],22,FALSE)</f>
        <v>-1</v>
      </c>
      <c r="D277" s="281" t="str">
        <f>IF(VLOOKUP(A277,DB_TBL_DATA_FIELDS[[FIELD_ID]:[ERROR_MESSAGE]],23,FALSE)&lt;&gt;0,VLOOKUP(A277,DB_TBL_DATA_FIELDS[[FIELD_ID]:[ERROR_MESSAGE]],23,FALSE),"")</f>
        <v/>
      </c>
      <c r="E277" s="281">
        <f>VLOOKUP(A277,DB_TBL_DATA_FIELDS[[#All],[FIELD_ID]:[RANGE_VALIDATION_MAX]],18,FALSE)</f>
        <v>0</v>
      </c>
      <c r="F277" s="281">
        <f>VLOOKUP(A277,DB_TBL_DATA_FIELDS[[#All],[FIELD_ID]:[RANGE_VALIDATION_MAX]],19,FALSE)</f>
        <v>0.8</v>
      </c>
      <c r="G277" s="281" t="str">
        <f t="shared" ca="1" si="27"/>
        <v/>
      </c>
      <c r="H277" s="215"/>
      <c r="I277" s="503"/>
      <c r="J277" s="504"/>
      <c r="K277" s="504"/>
      <c r="L277" s="504"/>
      <c r="M277" s="504"/>
      <c r="N277" s="504"/>
      <c r="O277" s="504"/>
      <c r="P277" s="504"/>
      <c r="Q277" s="504"/>
      <c r="R277" s="504"/>
      <c r="S277" s="504"/>
      <c r="T277" s="504"/>
      <c r="U277" s="504"/>
      <c r="V277" s="504"/>
      <c r="W277" s="505"/>
      <c r="X277" s="153"/>
      <c r="Y277" s="194"/>
    </row>
    <row r="278" spans="1:25" ht="21.95" customHeight="1" x14ac:dyDescent="0.2">
      <c r="A278" s="273" t="s">
        <v>2884</v>
      </c>
      <c r="B278" s="288" t="str">
        <f t="shared" si="31"/>
        <v/>
      </c>
      <c r="C278" s="281">
        <f ca="1">VLOOKUP(A278,DB_TBL_DATA_FIELDS[[FIELD_ID]:[PCT_CALC_FIELD_STATUS_CODE]],22,FALSE)</f>
        <v>-1</v>
      </c>
      <c r="D278" s="281" t="str">
        <f>IF(VLOOKUP(A278,DB_TBL_DATA_FIELDS[[FIELD_ID]:[ERROR_MESSAGE]],23,FALSE)&lt;&gt;0,VLOOKUP(A278,DB_TBL_DATA_FIELDS[[FIELD_ID]:[ERROR_MESSAGE]],23,FALSE),"")</f>
        <v/>
      </c>
      <c r="E278" s="281">
        <f>VLOOKUP(A278,DB_TBL_DATA_FIELDS[[#All],[FIELD_ID]:[RANGE_VALIDATION_MAX]],18,FALSE)</f>
        <v>0</v>
      </c>
      <c r="F278" s="281">
        <f>VLOOKUP(A278,DB_TBL_DATA_FIELDS[[#All],[FIELD_ID]:[RANGE_VALIDATION_MAX]],19,FALSE)</f>
        <v>0.8</v>
      </c>
      <c r="G278" s="281" t="str">
        <f t="shared" ca="1" si="27"/>
        <v/>
      </c>
      <c r="H278" s="215"/>
      <c r="I278" s="503"/>
      <c r="J278" s="504"/>
      <c r="K278" s="504"/>
      <c r="L278" s="504"/>
      <c r="M278" s="504"/>
      <c r="N278" s="504"/>
      <c r="O278" s="504"/>
      <c r="P278" s="504"/>
      <c r="Q278" s="504"/>
      <c r="R278" s="504"/>
      <c r="S278" s="504"/>
      <c r="T278" s="504"/>
      <c r="U278" s="504"/>
      <c r="V278" s="504"/>
      <c r="W278" s="505"/>
      <c r="X278" s="153"/>
      <c r="Y278" s="194"/>
    </row>
    <row r="279" spans="1:25" ht="21.95" customHeight="1" x14ac:dyDescent="0.2">
      <c r="A279" s="273" t="s">
        <v>2882</v>
      </c>
      <c r="B279" s="288" t="str">
        <f t="shared" si="31"/>
        <v/>
      </c>
      <c r="C279" s="281">
        <f ca="1">VLOOKUP(A279,DB_TBL_DATA_FIELDS[[FIELD_ID]:[PCT_CALC_FIELD_STATUS_CODE]],22,FALSE)</f>
        <v>-1</v>
      </c>
      <c r="D279" s="281" t="str">
        <f>IF(VLOOKUP(A279,DB_TBL_DATA_FIELDS[[FIELD_ID]:[ERROR_MESSAGE]],23,FALSE)&lt;&gt;0,VLOOKUP(A279,DB_TBL_DATA_FIELDS[[FIELD_ID]:[ERROR_MESSAGE]],23,FALSE),"")</f>
        <v/>
      </c>
      <c r="E279" s="281">
        <f>VLOOKUP(A279,DB_TBL_DATA_FIELDS[[#All],[FIELD_ID]:[RANGE_VALIDATION_MAX]],18,FALSE)</f>
        <v>0</v>
      </c>
      <c r="F279" s="281">
        <f>VLOOKUP(A279,DB_TBL_DATA_FIELDS[[#All],[FIELD_ID]:[RANGE_VALIDATION_MAX]],19,FALSE)</f>
        <v>0.8</v>
      </c>
      <c r="G279" s="281" t="str">
        <f t="shared" ca="1" si="27"/>
        <v/>
      </c>
      <c r="H279" s="215"/>
      <c r="I279" s="503"/>
      <c r="J279" s="504"/>
      <c r="K279" s="504"/>
      <c r="L279" s="504"/>
      <c r="M279" s="504"/>
      <c r="N279" s="504"/>
      <c r="O279" s="504"/>
      <c r="P279" s="504"/>
      <c r="Q279" s="504"/>
      <c r="R279" s="504"/>
      <c r="S279" s="504"/>
      <c r="T279" s="504"/>
      <c r="U279" s="504"/>
      <c r="V279" s="504"/>
      <c r="W279" s="505"/>
      <c r="X279" s="153"/>
      <c r="Y279" s="194"/>
    </row>
    <row r="280" spans="1:25" ht="21.95" customHeight="1" x14ac:dyDescent="0.2">
      <c r="A280" s="273" t="s">
        <v>2881</v>
      </c>
      <c r="B280" s="288" t="str">
        <f t="shared" si="31"/>
        <v/>
      </c>
      <c r="C280" s="281">
        <f ca="1">VLOOKUP(A280,DB_TBL_DATA_FIELDS[[FIELD_ID]:[PCT_CALC_FIELD_STATUS_CODE]],22,FALSE)</f>
        <v>-1</v>
      </c>
      <c r="D280" s="281" t="str">
        <f>IF(VLOOKUP(A280,DB_TBL_DATA_FIELDS[[FIELD_ID]:[ERROR_MESSAGE]],23,FALSE)&lt;&gt;0,VLOOKUP(A280,DB_TBL_DATA_FIELDS[[FIELD_ID]:[ERROR_MESSAGE]],23,FALSE),"")</f>
        <v/>
      </c>
      <c r="E280" s="281">
        <f>VLOOKUP(A280,DB_TBL_DATA_FIELDS[[#All],[FIELD_ID]:[RANGE_VALIDATION_MAX]],18,FALSE)</f>
        <v>0</v>
      </c>
      <c r="F280" s="281">
        <f>VLOOKUP(A280,DB_TBL_DATA_FIELDS[[#All],[FIELD_ID]:[RANGE_VALIDATION_MAX]],19,FALSE)</f>
        <v>0.8</v>
      </c>
      <c r="G280" s="281" t="str">
        <f t="shared" ca="1" si="27"/>
        <v/>
      </c>
      <c r="H280" s="215"/>
      <c r="I280" s="503"/>
      <c r="J280" s="504"/>
      <c r="K280" s="504"/>
      <c r="L280" s="504"/>
      <c r="M280" s="504"/>
      <c r="N280" s="504"/>
      <c r="O280" s="504"/>
      <c r="P280" s="504"/>
      <c r="Q280" s="504"/>
      <c r="R280" s="504"/>
      <c r="S280" s="504"/>
      <c r="T280" s="504"/>
      <c r="U280" s="504"/>
      <c r="V280" s="504"/>
      <c r="W280" s="505"/>
      <c r="X280" s="153"/>
      <c r="Y280" s="194"/>
    </row>
    <row r="281" spans="1:25" ht="21.95" customHeight="1" x14ac:dyDescent="0.2">
      <c r="A281" s="273" t="s">
        <v>3404</v>
      </c>
      <c r="B281" s="288" t="str">
        <f t="shared" ref="B281:B282" si="32">IF(U383&lt;&gt;"",U383,"")</f>
        <v/>
      </c>
      <c r="C281" s="281">
        <f ca="1">VLOOKUP(A281,DB_TBL_DATA_FIELDS[[FIELD_ID]:[PCT_CALC_FIELD_STATUS_CODE]],22,FALSE)</f>
        <v>-1</v>
      </c>
      <c r="D281" s="281" t="str">
        <f>IF(VLOOKUP(A281,DB_TBL_DATA_FIELDS[[FIELD_ID]:[ERROR_MESSAGE]],23,FALSE)&lt;&gt;0,VLOOKUP(A281,DB_TBL_DATA_FIELDS[[FIELD_ID]:[ERROR_MESSAGE]],23,FALSE),"")</f>
        <v/>
      </c>
      <c r="E281" s="281">
        <f>VLOOKUP(A281,DB_TBL_DATA_FIELDS[[#All],[FIELD_ID]:[RANGE_VALIDATION_MAX]],18,FALSE)</f>
        <v>0</v>
      </c>
      <c r="F281" s="281">
        <f>VLOOKUP(A281,DB_TBL_DATA_FIELDS[[#All],[FIELD_ID]:[RANGE_VALIDATION_MAX]],19,FALSE)</f>
        <v>0.8</v>
      </c>
      <c r="G281" s="281" t="str">
        <f t="shared" ref="G281:G282" ca="1" si="33">IF(C281&lt;0,"",C281)</f>
        <v/>
      </c>
      <c r="H281" s="215"/>
      <c r="I281" s="503"/>
      <c r="J281" s="504"/>
      <c r="K281" s="504"/>
      <c r="L281" s="504"/>
      <c r="M281" s="504"/>
      <c r="N281" s="504"/>
      <c r="O281" s="504"/>
      <c r="P281" s="504"/>
      <c r="Q281" s="504"/>
      <c r="R281" s="504"/>
      <c r="S281" s="504"/>
      <c r="T281" s="504"/>
      <c r="U281" s="504"/>
      <c r="V281" s="504"/>
      <c r="W281" s="505"/>
      <c r="X281" s="153"/>
      <c r="Y281" s="194"/>
    </row>
    <row r="282" spans="1:25" ht="21.95" customHeight="1" x14ac:dyDescent="0.2">
      <c r="A282" s="273" t="s">
        <v>3405</v>
      </c>
      <c r="B282" s="288" t="str">
        <f t="shared" si="32"/>
        <v/>
      </c>
      <c r="C282" s="281">
        <f ca="1">VLOOKUP(A282,DB_TBL_DATA_FIELDS[[FIELD_ID]:[PCT_CALC_FIELD_STATUS_CODE]],22,FALSE)</f>
        <v>-1</v>
      </c>
      <c r="D282" s="281" t="str">
        <f>IF(VLOOKUP(A282,DB_TBL_DATA_FIELDS[[FIELD_ID]:[ERROR_MESSAGE]],23,FALSE)&lt;&gt;0,VLOOKUP(A282,DB_TBL_DATA_FIELDS[[FIELD_ID]:[ERROR_MESSAGE]],23,FALSE),"")</f>
        <v/>
      </c>
      <c r="E282" s="281">
        <f>VLOOKUP(A282,DB_TBL_DATA_FIELDS[[#All],[FIELD_ID]:[RANGE_VALIDATION_MAX]],18,FALSE)</f>
        <v>0</v>
      </c>
      <c r="F282" s="281">
        <f>VLOOKUP(A282,DB_TBL_DATA_FIELDS[[#All],[FIELD_ID]:[RANGE_VALIDATION_MAX]],19,FALSE)</f>
        <v>0.8</v>
      </c>
      <c r="G282" s="281" t="str">
        <f t="shared" ca="1" si="33"/>
        <v/>
      </c>
      <c r="H282" s="215"/>
      <c r="I282" s="503"/>
      <c r="J282" s="504"/>
      <c r="K282" s="504"/>
      <c r="L282" s="504"/>
      <c r="M282" s="504"/>
      <c r="N282" s="504"/>
      <c r="O282" s="504"/>
      <c r="P282" s="504"/>
      <c r="Q282" s="504"/>
      <c r="R282" s="504"/>
      <c r="S282" s="504"/>
      <c r="T282" s="504"/>
      <c r="U282" s="504"/>
      <c r="V282" s="504"/>
      <c r="W282" s="505"/>
      <c r="X282" s="153"/>
      <c r="Y282" s="194"/>
    </row>
    <row r="283" spans="1:25" ht="21.95" customHeight="1" x14ac:dyDescent="0.2">
      <c r="A283" s="273" t="s">
        <v>3603</v>
      </c>
      <c r="B283" s="296" t="str">
        <f ca="1">VLOOKUP(A283,'$DB.DATA'!D:H,5,FALSE)</f>
        <v/>
      </c>
      <c r="C283" s="281" t="str">
        <f ca="1">VLOOKUP(A283,DB_TBL_DATA_FIELDS[[FIELD_ID]:[PCT_CALC_FIELD_STATUS_CODE]],22,FALSE)</f>
        <v/>
      </c>
      <c r="D283" s="281" t="str">
        <f ca="1">IF(VLOOKUP(A283,DB_TBL_DATA_FIELDS[[FIELD_ID]:[ERROR_MESSAGE]],23,FALSE)&lt;&gt;0,VLOOKUP(A283,DB_TBL_DATA_FIELDS[[FIELD_ID]:[ERROR_MESSAGE]],23,FALSE),"")</f>
        <v/>
      </c>
      <c r="E283" s="281">
        <f>VLOOKUP(A283,DB_TBL_DATA_FIELDS[[#All],[FIELD_ID]:[RANGE_VALIDATION_MAX]],18,FALSE)</f>
        <v>0</v>
      </c>
      <c r="F283" s="281">
        <f>VLOOKUP(A283,DB_TBL_DATA_FIELDS[[#All],[FIELD_ID]:[RANGE_VALIDATION_MAX]],19,FALSE)</f>
        <v>1</v>
      </c>
      <c r="G283" s="281" t="str">
        <f t="shared" ref="G283" ca="1" si="34">IF(C283&lt;0,"",C283)</f>
        <v/>
      </c>
      <c r="H283" s="215"/>
      <c r="I283" s="506"/>
      <c r="J283" s="507"/>
      <c r="K283" s="507"/>
      <c r="L283" s="507"/>
      <c r="M283" s="507"/>
      <c r="N283" s="507"/>
      <c r="O283" s="507"/>
      <c r="P283" s="507"/>
      <c r="Q283" s="507"/>
      <c r="R283" s="507"/>
      <c r="S283" s="507"/>
      <c r="T283" s="507"/>
      <c r="U283" s="507"/>
      <c r="V283" s="507"/>
      <c r="W283" s="508"/>
      <c r="X283" s="153"/>
      <c r="Y283" s="194"/>
    </row>
    <row r="284" spans="1:25" ht="20.100000000000001" customHeight="1" x14ac:dyDescent="0.2">
      <c r="A284" s="290" t="s">
        <v>318</v>
      </c>
      <c r="B284" s="282" t="str">
        <f>"C"&amp;MATCH(LEFT(A284,LEN(A284)-LEN("_RANGE")),A:A,0)+1&amp;":C"&amp;(ROW()-1)</f>
        <v>C258:C283</v>
      </c>
      <c r="C284" s="281"/>
      <c r="D284" s="281"/>
      <c r="E284" s="281"/>
      <c r="F284" s="281"/>
      <c r="G284" s="281"/>
      <c r="H284" s="215"/>
      <c r="I284" s="358" t="s">
        <v>3553</v>
      </c>
      <c r="J284" s="344"/>
      <c r="K284" s="344"/>
      <c r="L284" s="344"/>
      <c r="M284" s="344"/>
      <c r="N284" s="344"/>
      <c r="O284" s="344"/>
      <c r="P284" s="344"/>
      <c r="Q284" s="344"/>
      <c r="R284" s="344"/>
      <c r="S284" s="344"/>
      <c r="T284" s="344"/>
      <c r="U284" s="344"/>
      <c r="V284" s="344"/>
      <c r="W284" s="344"/>
      <c r="X284" s="153"/>
      <c r="Y284" s="194"/>
    </row>
    <row r="285" spans="1:25" ht="39.950000000000003" customHeight="1" x14ac:dyDescent="0.2">
      <c r="A285" s="290" t="s">
        <v>319</v>
      </c>
      <c r="B285" s="282">
        <f ca="1">COUNTIF(INDIRECT($B284),2)</f>
        <v>0</v>
      </c>
      <c r="C285" s="281"/>
      <c r="D285" s="281"/>
      <c r="E285" s="281"/>
      <c r="F285" s="281"/>
      <c r="G285" s="281"/>
      <c r="H285" s="215"/>
      <c r="I285" s="457" t="s">
        <v>61</v>
      </c>
      <c r="J285" s="458"/>
      <c r="K285" s="457" t="s">
        <v>3554</v>
      </c>
      <c r="L285" s="458"/>
      <c r="M285" s="457" t="s">
        <v>220</v>
      </c>
      <c r="N285" s="458"/>
      <c r="O285" s="457" t="s">
        <v>274</v>
      </c>
      <c r="P285" s="458"/>
      <c r="Q285" s="457" t="s">
        <v>3555</v>
      </c>
      <c r="R285" s="458"/>
      <c r="S285" s="457" t="s">
        <v>3556</v>
      </c>
      <c r="T285" s="458"/>
      <c r="U285" s="589" t="s">
        <v>3557</v>
      </c>
      <c r="V285" s="590"/>
      <c r="W285" s="591"/>
      <c r="X285" s="165" t="str">
        <f ca="1">G218</f>
        <v/>
      </c>
      <c r="Y285" s="194"/>
    </row>
    <row r="286" spans="1:25" ht="39.950000000000003" customHeight="1" x14ac:dyDescent="0.2">
      <c r="A286" s="290" t="s">
        <v>320</v>
      </c>
      <c r="B286" s="282">
        <f ca="1">COUNTIF(INDIRECT($B284),0)+COUNTIF(INDIRECT($B284),1)+COUNTIF(INDIRECT($B284),2)</f>
        <v>1</v>
      </c>
      <c r="C286" s="281"/>
      <c r="D286" s="281"/>
      <c r="E286" s="281"/>
      <c r="F286" s="281"/>
      <c r="G286" s="281"/>
      <c r="H286" s="215"/>
      <c r="I286" s="592"/>
      <c r="J286" s="592"/>
      <c r="K286" s="593"/>
      <c r="L286" s="593"/>
      <c r="M286" s="592"/>
      <c r="N286" s="592"/>
      <c r="O286" s="593"/>
      <c r="P286" s="593"/>
      <c r="Q286" s="593"/>
      <c r="R286" s="593"/>
      <c r="S286" s="592"/>
      <c r="T286" s="592"/>
      <c r="U286" s="592"/>
      <c r="V286" s="592"/>
      <c r="W286" s="592"/>
      <c r="X286" s="165"/>
      <c r="Y286" s="194"/>
    </row>
    <row r="287" spans="1:25" ht="39.950000000000003" customHeight="1" x14ac:dyDescent="0.2">
      <c r="A287" s="290" t="s">
        <v>321</v>
      </c>
      <c r="B287" s="282">
        <f ca="1">COUNTIF(INDIRECT($B284),0)</f>
        <v>0</v>
      </c>
      <c r="C287" s="281" t="s">
        <v>2607</v>
      </c>
      <c r="D287" s="281"/>
      <c r="E287" s="281"/>
      <c r="F287" s="281"/>
      <c r="G287" s="281"/>
      <c r="H287" s="215"/>
      <c r="I287" s="592"/>
      <c r="J287" s="592"/>
      <c r="K287" s="593"/>
      <c r="L287" s="593"/>
      <c r="M287" s="592"/>
      <c r="N287" s="592"/>
      <c r="O287" s="593"/>
      <c r="P287" s="593"/>
      <c r="Q287" s="593"/>
      <c r="R287" s="593"/>
      <c r="S287" s="592"/>
      <c r="T287" s="592"/>
      <c r="U287" s="592"/>
      <c r="V287" s="592"/>
      <c r="W287" s="592"/>
      <c r="Y287" s="194"/>
    </row>
    <row r="288" spans="1:25" ht="39.950000000000003" customHeight="1" x14ac:dyDescent="0.2">
      <c r="A288" s="290" t="s">
        <v>322</v>
      </c>
      <c r="B288" s="291">
        <f ca="1">IFERROR(B285/B286,1.01)</f>
        <v>0</v>
      </c>
      <c r="C288" s="281"/>
      <c r="D288" s="281"/>
      <c r="E288" s="281"/>
      <c r="F288" s="281"/>
      <c r="G288" s="281"/>
      <c r="H288" s="215"/>
      <c r="I288" s="592"/>
      <c r="J288" s="592"/>
      <c r="K288" s="593"/>
      <c r="L288" s="593"/>
      <c r="M288" s="592"/>
      <c r="N288" s="592"/>
      <c r="O288" s="593"/>
      <c r="P288" s="593"/>
      <c r="Q288" s="593"/>
      <c r="R288" s="593"/>
      <c r="S288" s="592"/>
      <c r="T288" s="592"/>
      <c r="U288" s="592"/>
      <c r="V288" s="592"/>
      <c r="W288" s="592"/>
      <c r="X288" s="153"/>
      <c r="Y288" s="194"/>
    </row>
    <row r="289" spans="1:25" ht="39.950000000000003" customHeight="1" x14ac:dyDescent="0.2">
      <c r="A289" s="290" t="s">
        <v>323</v>
      </c>
      <c r="B289" s="292" t="str">
        <f ca="1">IF(B287&gt;0,"Data Error(s)",IF(B288=0,"Not Started",IF(B288&lt;1,ROUNDUP(B288*100,0)&amp;"% Done",IF(B288&gt;1,"Optional","Complete"))))</f>
        <v>Not Started</v>
      </c>
      <c r="C289" s="281"/>
      <c r="D289" s="281"/>
      <c r="E289" s="281"/>
      <c r="F289" s="281"/>
      <c r="G289" s="281"/>
      <c r="H289" s="215"/>
      <c r="I289" s="592"/>
      <c r="J289" s="592"/>
      <c r="K289" s="593"/>
      <c r="L289" s="593"/>
      <c r="M289" s="592"/>
      <c r="N289" s="592"/>
      <c r="O289" s="593"/>
      <c r="P289" s="593"/>
      <c r="Q289" s="593"/>
      <c r="R289" s="593"/>
      <c r="S289" s="592"/>
      <c r="T289" s="592"/>
      <c r="U289" s="592"/>
      <c r="V289" s="592"/>
      <c r="W289" s="592"/>
      <c r="X289" s="153"/>
      <c r="Y289" s="194"/>
    </row>
    <row r="290" spans="1:25" ht="39.950000000000003" customHeight="1" x14ac:dyDescent="0.2">
      <c r="A290" s="290" t="s">
        <v>324</v>
      </c>
      <c r="B290" s="282" t="str">
        <f ca="1">IF(B287&gt;0,0,IF(B288&lt;1,"",2))</f>
        <v/>
      </c>
      <c r="C290" s="281"/>
      <c r="D290" s="281"/>
      <c r="E290" s="281"/>
      <c r="F290" s="281"/>
      <c r="G290" s="281"/>
      <c r="H290" s="215"/>
      <c r="I290" s="592"/>
      <c r="J290" s="592"/>
      <c r="K290" s="593"/>
      <c r="L290" s="593"/>
      <c r="M290" s="592"/>
      <c r="N290" s="592"/>
      <c r="O290" s="593"/>
      <c r="P290" s="593"/>
      <c r="Q290" s="593"/>
      <c r="R290" s="593"/>
      <c r="S290" s="592"/>
      <c r="T290" s="592"/>
      <c r="U290" s="592"/>
      <c r="V290" s="592"/>
      <c r="W290" s="592"/>
      <c r="X290" s="153"/>
      <c r="Y290" s="194"/>
    </row>
    <row r="291" spans="1:25" ht="39.950000000000003" customHeight="1" x14ac:dyDescent="0.2">
      <c r="A291" s="290" t="s">
        <v>325</v>
      </c>
      <c r="B291" s="293" t="s">
        <v>2873</v>
      </c>
      <c r="C291" s="281"/>
      <c r="D291" s="281"/>
      <c r="E291" s="281"/>
      <c r="F291" s="281"/>
      <c r="G291" s="281"/>
      <c r="H291" s="215"/>
      <c r="I291" s="592"/>
      <c r="J291" s="592"/>
      <c r="K291" s="593"/>
      <c r="L291" s="593"/>
      <c r="M291" s="592"/>
      <c r="N291" s="592"/>
      <c r="O291" s="593"/>
      <c r="P291" s="593"/>
      <c r="Q291" s="593"/>
      <c r="R291" s="593"/>
      <c r="S291" s="592"/>
      <c r="T291" s="592"/>
      <c r="U291" s="592"/>
      <c r="V291" s="592"/>
      <c r="W291" s="592"/>
      <c r="X291" s="153"/>
      <c r="Y291" s="194"/>
    </row>
    <row r="292" spans="1:25" ht="39.950000000000003" customHeight="1" x14ac:dyDescent="0.2">
      <c r="A292" s="294" t="s">
        <v>2368</v>
      </c>
      <c r="B292" s="282" t="str">
        <f>IF(D253&lt;&gt;"",D253,"")</f>
        <v/>
      </c>
      <c r="C292" s="281">
        <f>IF(B292="",0,1)</f>
        <v>0</v>
      </c>
      <c r="D292" s="281"/>
      <c r="E292" s="281"/>
      <c r="F292" s="281"/>
      <c r="G292" s="281"/>
      <c r="H292" s="215"/>
      <c r="I292" s="592"/>
      <c r="J292" s="592"/>
      <c r="K292" s="593"/>
      <c r="L292" s="593"/>
      <c r="M292" s="592"/>
      <c r="N292" s="592"/>
      <c r="O292" s="593"/>
      <c r="P292" s="593"/>
      <c r="Q292" s="593"/>
      <c r="R292" s="593"/>
      <c r="S292" s="592"/>
      <c r="T292" s="592"/>
      <c r="U292" s="592"/>
      <c r="V292" s="592"/>
      <c r="W292" s="592"/>
      <c r="X292" s="153"/>
      <c r="Y292" s="194"/>
    </row>
    <row r="293" spans="1:25" ht="39.950000000000003" customHeight="1" x14ac:dyDescent="0.2">
      <c r="A293" s="294" t="s">
        <v>2350</v>
      </c>
      <c r="B293" s="282">
        <f>SUM(C292)</f>
        <v>0</v>
      </c>
      <c r="C293" s="281" t="s">
        <v>2462</v>
      </c>
      <c r="D293" s="281"/>
      <c r="E293" s="281"/>
      <c r="F293" s="281"/>
      <c r="G293" s="281"/>
      <c r="H293" s="215"/>
      <c r="I293" s="592"/>
      <c r="J293" s="592"/>
      <c r="K293" s="593"/>
      <c r="L293" s="593"/>
      <c r="M293" s="592"/>
      <c r="N293" s="592"/>
      <c r="O293" s="593"/>
      <c r="P293" s="593"/>
      <c r="Q293" s="593"/>
      <c r="R293" s="593"/>
      <c r="S293" s="592"/>
      <c r="T293" s="592"/>
      <c r="U293" s="592"/>
      <c r="V293" s="592"/>
      <c r="W293" s="592"/>
      <c r="X293" s="153"/>
      <c r="Y293" s="194"/>
    </row>
    <row r="294" spans="1:25" ht="39.950000000000003" customHeight="1" x14ac:dyDescent="0.2">
      <c r="A294" s="294" t="s">
        <v>2351</v>
      </c>
      <c r="B294" s="282" t="b">
        <f>(B293&gt;0)</f>
        <v>0</v>
      </c>
      <c r="C294" s="281"/>
      <c r="D294" s="281"/>
      <c r="E294" s="281"/>
      <c r="F294" s="281"/>
      <c r="G294" s="281"/>
      <c r="H294" s="215"/>
      <c r="I294" s="592"/>
      <c r="J294" s="592"/>
      <c r="K294" s="593"/>
      <c r="L294" s="593"/>
      <c r="M294" s="592"/>
      <c r="N294" s="592"/>
      <c r="O294" s="593"/>
      <c r="P294" s="593"/>
      <c r="Q294" s="593"/>
      <c r="R294" s="593"/>
      <c r="S294" s="592"/>
      <c r="T294" s="592"/>
      <c r="U294" s="592"/>
      <c r="V294" s="592"/>
      <c r="W294" s="592"/>
      <c r="X294" s="153"/>
      <c r="Y294" s="194"/>
    </row>
    <row r="295" spans="1:25" ht="39.950000000000003" customHeight="1" x14ac:dyDescent="0.2">
      <c r="A295" s="440" t="s">
        <v>3919</v>
      </c>
      <c r="B295" s="282">
        <v>20</v>
      </c>
      <c r="C295" s="281"/>
      <c r="D295" s="281"/>
      <c r="E295" s="281"/>
      <c r="F295" s="281"/>
      <c r="G295" s="281"/>
      <c r="H295" s="215"/>
      <c r="I295" s="592"/>
      <c r="J295" s="592"/>
      <c r="K295" s="593"/>
      <c r="L295" s="593"/>
      <c r="M295" s="592"/>
      <c r="N295" s="592"/>
      <c r="O295" s="593"/>
      <c r="P295" s="593"/>
      <c r="Q295" s="593"/>
      <c r="R295" s="593"/>
      <c r="S295" s="592"/>
      <c r="T295" s="592"/>
      <c r="U295" s="592"/>
      <c r="V295" s="592"/>
      <c r="W295" s="592"/>
      <c r="X295" s="153"/>
      <c r="Y295" s="194"/>
    </row>
    <row r="296" spans="1:25" ht="20.100000000000001" customHeight="1" x14ac:dyDescent="0.2">
      <c r="A296" s="440" t="s">
        <v>3920</v>
      </c>
      <c r="B296" s="282">
        <f ca="1">DATA_SCORE_TRGT_FINAL</f>
        <v>0</v>
      </c>
      <c r="C296" s="281"/>
      <c r="D296" s="281"/>
      <c r="E296" s="281"/>
      <c r="F296" s="281"/>
      <c r="G296" s="281"/>
      <c r="H296" s="215"/>
      <c r="I296" s="231" t="s">
        <v>3561</v>
      </c>
      <c r="J296" s="204"/>
      <c r="K296" s="204"/>
      <c r="L296" s="204"/>
      <c r="M296" s="204"/>
      <c r="N296" s="204"/>
      <c r="O296" s="204"/>
      <c r="P296" s="204"/>
      <c r="Q296" s="204"/>
      <c r="R296" s="204"/>
      <c r="S296" s="204"/>
      <c r="T296" s="204"/>
      <c r="U296" s="204"/>
      <c r="V296" s="204"/>
      <c r="W296" s="204"/>
      <c r="X296" s="153"/>
      <c r="Y296" s="194"/>
    </row>
    <row r="297" spans="1:25" ht="39.950000000000003" customHeight="1" x14ac:dyDescent="0.2">
      <c r="A297" s="440" t="s">
        <v>3921</v>
      </c>
      <c r="B297" s="282" t="str">
        <f>SUBSTITUTE(CONFIG_POINT_HEADER_TEMPLATE,"[MAX]",B295)</f>
        <v>(Maximum Points: 20)</v>
      </c>
      <c r="C297" s="281"/>
      <c r="D297" s="281"/>
      <c r="E297" s="281"/>
      <c r="F297" s="281"/>
      <c r="G297" s="281"/>
      <c r="H297" s="215"/>
      <c r="I297" s="457" t="s">
        <v>61</v>
      </c>
      <c r="J297" s="458"/>
      <c r="K297" s="457" t="s">
        <v>3554</v>
      </c>
      <c r="L297" s="458"/>
      <c r="M297" s="457" t="s">
        <v>220</v>
      </c>
      <c r="N297" s="458"/>
      <c r="O297" s="457" t="s">
        <v>274</v>
      </c>
      <c r="P297" s="458"/>
      <c r="Q297" s="457" t="s">
        <v>3555</v>
      </c>
      <c r="R297" s="458"/>
      <c r="S297" s="457" t="s">
        <v>3556</v>
      </c>
      <c r="T297" s="458"/>
      <c r="U297" s="589" t="s">
        <v>3557</v>
      </c>
      <c r="V297" s="590"/>
      <c r="W297" s="591"/>
      <c r="X297" s="165" t="str">
        <f ca="1">G219</f>
        <v/>
      </c>
      <c r="Y297" s="194"/>
    </row>
    <row r="298" spans="1:25" ht="39.950000000000003" customHeight="1" x14ac:dyDescent="0.2">
      <c r="A298" s="440" t="s">
        <v>3922</v>
      </c>
      <c r="B298" s="441" t="str">
        <f ca="1">SUBSTITUTE(CONFIG_SCORE_SUBHEADER_TEMPLATE,"[SCORE]",ROUND(B296,2))</f>
        <v>Estimated Score: 0</v>
      </c>
      <c r="C298" s="281"/>
      <c r="D298" s="281"/>
      <c r="E298" s="281"/>
      <c r="F298" s="281"/>
      <c r="G298" s="281"/>
      <c r="H298" s="215"/>
      <c r="I298" s="592"/>
      <c r="J298" s="592"/>
      <c r="K298" s="593"/>
      <c r="L298" s="593"/>
      <c r="M298" s="592"/>
      <c r="N298" s="592"/>
      <c r="O298" s="593"/>
      <c r="P298" s="593"/>
      <c r="Q298" s="593"/>
      <c r="R298" s="593"/>
      <c r="S298" s="592"/>
      <c r="T298" s="592"/>
      <c r="U298" s="592"/>
      <c r="V298" s="592"/>
      <c r="W298" s="592"/>
      <c r="Y298" s="194"/>
    </row>
    <row r="299" spans="1:25" ht="39.950000000000003" customHeight="1" x14ac:dyDescent="0.2">
      <c r="A299" s="285" t="s">
        <v>332</v>
      </c>
      <c r="B299" s="305" t="str">
        <f>C299&amp;" "&amp;B337</f>
        <v>Use of Donated or Conveyed Government-owned or Other Properties (Maximum Points: 5)</v>
      </c>
      <c r="C299" s="287" t="s">
        <v>3827</v>
      </c>
      <c r="D299" s="287"/>
      <c r="E299" s="287"/>
      <c r="F299" s="287"/>
      <c r="G299" s="172" t="str">
        <f>B331</f>
        <v>Donated or Conveyed Property</v>
      </c>
      <c r="H299" s="215"/>
      <c r="I299" s="592"/>
      <c r="J299" s="592"/>
      <c r="K299" s="593"/>
      <c r="L299" s="593"/>
      <c r="M299" s="592"/>
      <c r="N299" s="592"/>
      <c r="O299" s="593"/>
      <c r="P299" s="593"/>
      <c r="Q299" s="593"/>
      <c r="R299" s="593"/>
      <c r="S299" s="592"/>
      <c r="T299" s="592"/>
      <c r="U299" s="592"/>
      <c r="V299" s="592"/>
      <c r="W299" s="592"/>
      <c r="X299" s="153"/>
      <c r="Y299" s="194"/>
    </row>
    <row r="300" spans="1:25" ht="39.950000000000003" customHeight="1" x14ac:dyDescent="0.2">
      <c r="A300" s="273" t="s">
        <v>2772</v>
      </c>
      <c r="B300" s="288" t="str">
        <f>IF($W$403&lt;&gt;"",$W$403,"")</f>
        <v/>
      </c>
      <c r="C300" s="281">
        <f ca="1">VLOOKUP(A300,DB_TBL_DATA_FIELDS[[FIELD_ID]:[PCT_CALC_FIELD_STATUS_CODE]],22,FALSE)</f>
        <v>1</v>
      </c>
      <c r="D300" s="281" t="str">
        <f ca="1">IF(VLOOKUP(A300,DB_TBL_DATA_FIELDS[[FIELD_ID]:[ERROR_MESSAGE]],23,FALSE)&lt;&gt;0,VLOOKUP(A300,DB_TBL_DATA_FIELDS[[FIELD_ID]:[ERROR_MESSAGE]],23,FALSE),"")</f>
        <v/>
      </c>
      <c r="E300" s="281">
        <f>VLOOKUP(A300,DB_TBL_DATA_FIELDS[[#All],[FIELD_ID]:[RANGE_VALIDATION_MAX]],18,FALSE)</f>
        <v>0</v>
      </c>
      <c r="F300" s="281">
        <f>VLOOKUP(A300,DB_TBL_DATA_FIELDS[[#All],[FIELD_ID]:[RANGE_VALIDATION_MAX]],19,FALSE)</f>
        <v>999999999999</v>
      </c>
      <c r="G300" s="281">
        <f ca="1">IF(C300&lt;0,"",C300)</f>
        <v>1</v>
      </c>
      <c r="H300" s="215"/>
      <c r="I300" s="592"/>
      <c r="J300" s="592"/>
      <c r="K300" s="593"/>
      <c r="L300" s="593"/>
      <c r="M300" s="592"/>
      <c r="N300" s="592"/>
      <c r="O300" s="593"/>
      <c r="P300" s="593"/>
      <c r="Q300" s="593"/>
      <c r="R300" s="593"/>
      <c r="S300" s="592"/>
      <c r="T300" s="592"/>
      <c r="U300" s="592"/>
      <c r="V300" s="592"/>
      <c r="W300" s="592"/>
      <c r="X300" s="153"/>
      <c r="Y300" s="194"/>
    </row>
    <row r="301" spans="1:25" ht="39.950000000000003" customHeight="1" x14ac:dyDescent="0.2">
      <c r="A301" s="273" t="s">
        <v>2773</v>
      </c>
      <c r="B301" s="288" t="str">
        <f>IF(I406&lt;&gt;"",I406,"")</f>
        <v/>
      </c>
      <c r="C301" s="281">
        <f ca="1">VLOOKUP(A301,DB_TBL_DATA_FIELDS[[FIELD_ID]:[PCT_CALC_FIELD_STATUS_CODE]],22,FALSE)</f>
        <v>-1</v>
      </c>
      <c r="D301" s="281" t="str">
        <f>IF(VLOOKUP(A301,DB_TBL_DATA_FIELDS[[FIELD_ID]:[ERROR_MESSAGE]],23,FALSE)&lt;&gt;0,VLOOKUP(A301,DB_TBL_DATA_FIELDS[[FIELD_ID]:[ERROR_MESSAGE]],23,FALSE),"")</f>
        <v/>
      </c>
      <c r="E301" s="281">
        <f>VLOOKUP(A301,DB_TBL_DATA_FIELDS[[#All],[FIELD_ID]:[RANGE_VALIDATION_MAX]],18,FALSE)</f>
        <v>0</v>
      </c>
      <c r="F301" s="281">
        <f>VLOOKUP(A301,DB_TBL_DATA_FIELDS[[#All],[FIELD_ID]:[RANGE_VALIDATION_MAX]],19,FALSE)</f>
        <v>32767</v>
      </c>
      <c r="G301" s="281" t="str">
        <f t="shared" ref="G301:G323" ca="1" si="35">IF(C301&lt;0,"",C301)</f>
        <v/>
      </c>
      <c r="H301" s="215"/>
      <c r="I301" s="592"/>
      <c r="J301" s="592"/>
      <c r="K301" s="593"/>
      <c r="L301" s="593"/>
      <c r="M301" s="592"/>
      <c r="N301" s="592"/>
      <c r="O301" s="593"/>
      <c r="P301" s="593"/>
      <c r="Q301" s="593"/>
      <c r="R301" s="593"/>
      <c r="S301" s="592"/>
      <c r="T301" s="592"/>
      <c r="U301" s="592"/>
      <c r="V301" s="592"/>
      <c r="W301" s="592"/>
      <c r="X301" s="153"/>
      <c r="Y301" s="194"/>
    </row>
    <row r="302" spans="1:25" ht="39.950000000000003" customHeight="1" x14ac:dyDescent="0.2">
      <c r="A302" s="273" t="s">
        <v>2774</v>
      </c>
      <c r="B302" s="288" t="str">
        <f>IF(I408&lt;&gt;"",I408,"")</f>
        <v/>
      </c>
      <c r="C302" s="281">
        <f ca="1">VLOOKUP(A302,DB_TBL_DATA_FIELDS[[FIELD_ID]:[PCT_CALC_FIELD_STATUS_CODE]],22,FALSE)</f>
        <v>-1</v>
      </c>
      <c r="D302" s="281" t="str">
        <f>IF(VLOOKUP(A302,DB_TBL_DATA_FIELDS[[FIELD_ID]:[ERROR_MESSAGE]],23,FALSE)&lt;&gt;0,VLOOKUP(A302,DB_TBL_DATA_FIELDS[[FIELD_ID]:[ERROR_MESSAGE]],23,FALSE),"")</f>
        <v/>
      </c>
      <c r="E302" s="281">
        <f>VLOOKUP(A302,DB_TBL_DATA_FIELDS[[#All],[FIELD_ID]:[RANGE_VALIDATION_MAX]],18,FALSE)</f>
        <v>0</v>
      </c>
      <c r="F302" s="281">
        <f>VLOOKUP(A302,DB_TBL_DATA_FIELDS[[#All],[FIELD_ID]:[RANGE_VALIDATION_MAX]],19,FALSE)</f>
        <v>32767</v>
      </c>
      <c r="G302" s="281" t="str">
        <f t="shared" ca="1" si="35"/>
        <v/>
      </c>
      <c r="H302" s="215"/>
      <c r="I302" s="592"/>
      <c r="J302" s="592"/>
      <c r="K302" s="593"/>
      <c r="L302" s="593"/>
      <c r="M302" s="592"/>
      <c r="N302" s="592"/>
      <c r="O302" s="593"/>
      <c r="P302" s="593"/>
      <c r="Q302" s="593"/>
      <c r="R302" s="593"/>
      <c r="S302" s="592"/>
      <c r="T302" s="592"/>
      <c r="U302" s="592"/>
      <c r="V302" s="592"/>
      <c r="W302" s="592"/>
      <c r="X302" s="153"/>
      <c r="Y302" s="194"/>
    </row>
    <row r="303" spans="1:25" ht="39.950000000000003" customHeight="1" x14ac:dyDescent="0.2">
      <c r="A303" s="273" t="s">
        <v>2775</v>
      </c>
      <c r="B303" s="288" t="str">
        <f>IF(S408&lt;&gt;"",S408,"")</f>
        <v/>
      </c>
      <c r="C303" s="281">
        <f ca="1">VLOOKUP(A303,DB_TBL_DATA_FIELDS[[FIELD_ID]:[PCT_CALC_FIELD_STATUS_CODE]],22,FALSE)</f>
        <v>-1</v>
      </c>
      <c r="D303" s="281" t="str">
        <f>IF(VLOOKUP(A303,DB_TBL_DATA_FIELDS[[FIELD_ID]:[ERROR_MESSAGE]],23,FALSE)&lt;&gt;0,VLOOKUP(A303,DB_TBL_DATA_FIELDS[[FIELD_ID]:[ERROR_MESSAGE]],23,FALSE),"")</f>
        <v/>
      </c>
      <c r="E303" s="281">
        <f>VLOOKUP(A303,DB_TBL_DATA_FIELDS[[#All],[FIELD_ID]:[RANGE_VALIDATION_MAX]],18,FALSE)</f>
        <v>0</v>
      </c>
      <c r="F303" s="281">
        <f>VLOOKUP(A303,DB_TBL_DATA_FIELDS[[#All],[FIELD_ID]:[RANGE_VALIDATION_MAX]],19,FALSE)</f>
        <v>999999999999</v>
      </c>
      <c r="G303" s="281" t="str">
        <f t="shared" ca="1" si="35"/>
        <v/>
      </c>
      <c r="H303" s="215"/>
      <c r="I303" s="592"/>
      <c r="J303" s="592"/>
      <c r="K303" s="593"/>
      <c r="L303" s="593"/>
      <c r="M303" s="592"/>
      <c r="N303" s="592"/>
      <c r="O303" s="593"/>
      <c r="P303" s="593"/>
      <c r="Q303" s="593"/>
      <c r="R303" s="593"/>
      <c r="S303" s="592"/>
      <c r="T303" s="592"/>
      <c r="U303" s="592"/>
      <c r="V303" s="592"/>
      <c r="W303" s="592"/>
      <c r="X303" s="153"/>
      <c r="Y303" s="194"/>
    </row>
    <row r="304" spans="1:25" ht="39.950000000000003" customHeight="1" x14ac:dyDescent="0.2">
      <c r="A304" s="273" t="s">
        <v>2776</v>
      </c>
      <c r="B304" s="288" t="str">
        <f>IF(S406&lt;&gt;"",S406,"")</f>
        <v/>
      </c>
      <c r="C304" s="281">
        <f ca="1">VLOOKUP(A304,DB_TBL_DATA_FIELDS[[FIELD_ID]:[PCT_CALC_FIELD_STATUS_CODE]],22,FALSE)</f>
        <v>-1</v>
      </c>
      <c r="D304" s="281" t="str">
        <f>IF(VLOOKUP(A304,DB_TBL_DATA_FIELDS[[FIELD_ID]:[ERROR_MESSAGE]],23,FALSE)&lt;&gt;0,VLOOKUP(A304,DB_TBL_DATA_FIELDS[[FIELD_ID]:[ERROR_MESSAGE]],23,FALSE),"")</f>
        <v/>
      </c>
      <c r="E304" s="281">
        <f>VLOOKUP(A304,DB_TBL_DATA_FIELDS[[#All],[FIELD_ID]:[RANGE_VALIDATION_MAX]],18,FALSE)</f>
        <v>0</v>
      </c>
      <c r="F304" s="281">
        <f>VLOOKUP(A304,DB_TBL_DATA_FIELDS[[#All],[FIELD_ID]:[RANGE_VALIDATION_MAX]],19,FALSE)</f>
        <v>999999999999</v>
      </c>
      <c r="G304" s="281" t="str">
        <f t="shared" ca="1" si="35"/>
        <v/>
      </c>
      <c r="H304" s="215"/>
      <c r="I304" s="592"/>
      <c r="J304" s="592"/>
      <c r="K304" s="593"/>
      <c r="L304" s="593"/>
      <c r="M304" s="592"/>
      <c r="N304" s="592"/>
      <c r="O304" s="593"/>
      <c r="P304" s="593"/>
      <c r="Q304" s="593"/>
      <c r="R304" s="593"/>
      <c r="S304" s="592"/>
      <c r="T304" s="592"/>
      <c r="U304" s="592"/>
      <c r="V304" s="592"/>
      <c r="W304" s="592"/>
      <c r="X304" s="153"/>
      <c r="Y304" s="194"/>
    </row>
    <row r="305" spans="1:25" ht="39.950000000000003" customHeight="1" x14ac:dyDescent="0.2">
      <c r="A305" s="273" t="s">
        <v>2777</v>
      </c>
      <c r="B305" s="288" t="str">
        <f>IF(W412&lt;&gt;"",W412,"")</f>
        <v/>
      </c>
      <c r="C305" s="281">
        <f ca="1">VLOOKUP(A305,DB_TBL_DATA_FIELDS[[FIELD_ID]:[PCT_CALC_FIELD_STATUS_CODE]],22,FALSE)</f>
        <v>1</v>
      </c>
      <c r="D305" s="281" t="str">
        <f ca="1">IF(VLOOKUP(A305,DB_TBL_DATA_FIELDS[[FIELD_ID]:[ERROR_MESSAGE]],23,FALSE)&lt;&gt;0,VLOOKUP(A305,DB_TBL_DATA_FIELDS[[FIELD_ID]:[ERROR_MESSAGE]],23,FALSE),"")</f>
        <v/>
      </c>
      <c r="E305" s="281">
        <f>VLOOKUP(A305,DB_TBL_DATA_FIELDS[[#All],[FIELD_ID]:[RANGE_VALIDATION_MAX]],18,FALSE)</f>
        <v>0</v>
      </c>
      <c r="F305" s="281">
        <f>VLOOKUP(A305,DB_TBL_DATA_FIELDS[[#All],[FIELD_ID]:[RANGE_VALIDATION_MAX]],19,FALSE)</f>
        <v>999999999999</v>
      </c>
      <c r="G305" s="281">
        <f t="shared" ca="1" si="35"/>
        <v>1</v>
      </c>
      <c r="H305" s="215"/>
      <c r="I305" s="592"/>
      <c r="J305" s="592"/>
      <c r="K305" s="593"/>
      <c r="L305" s="593"/>
      <c r="M305" s="592"/>
      <c r="N305" s="592"/>
      <c r="O305" s="593"/>
      <c r="P305" s="593"/>
      <c r="Q305" s="593"/>
      <c r="R305" s="593"/>
      <c r="S305" s="592"/>
      <c r="T305" s="592"/>
      <c r="U305" s="592"/>
      <c r="V305" s="592"/>
      <c r="W305" s="592"/>
      <c r="X305" s="153"/>
      <c r="Y305" s="194"/>
    </row>
    <row r="306" spans="1:25" ht="39.950000000000003" customHeight="1" x14ac:dyDescent="0.2">
      <c r="A306" s="273" t="s">
        <v>2778</v>
      </c>
      <c r="B306" s="288" t="str">
        <f>IF(I415&lt;&gt;"",I415,"")</f>
        <v/>
      </c>
      <c r="C306" s="281">
        <f ca="1">VLOOKUP(A306,DB_TBL_DATA_FIELDS[[FIELD_ID]:[PCT_CALC_FIELD_STATUS_CODE]],22,FALSE)</f>
        <v>-1</v>
      </c>
      <c r="D306" s="281" t="str">
        <f>IF(VLOOKUP(A306,DB_TBL_DATA_FIELDS[[FIELD_ID]:[ERROR_MESSAGE]],23,FALSE)&lt;&gt;0,VLOOKUP(A306,DB_TBL_DATA_FIELDS[[FIELD_ID]:[ERROR_MESSAGE]],23,FALSE),"")</f>
        <v/>
      </c>
      <c r="E306" s="281">
        <f>VLOOKUP(A306,DB_TBL_DATA_FIELDS[[#All],[FIELD_ID]:[RANGE_VALIDATION_MAX]],18,FALSE)</f>
        <v>0</v>
      </c>
      <c r="F306" s="281">
        <f>VLOOKUP(A306,DB_TBL_DATA_FIELDS[[#All],[FIELD_ID]:[RANGE_VALIDATION_MAX]],19,FALSE)</f>
        <v>32767</v>
      </c>
      <c r="G306" s="281" t="str">
        <f t="shared" ca="1" si="35"/>
        <v/>
      </c>
      <c r="H306" s="215"/>
      <c r="I306" s="592"/>
      <c r="J306" s="592"/>
      <c r="K306" s="593"/>
      <c r="L306" s="593"/>
      <c r="M306" s="592"/>
      <c r="N306" s="592"/>
      <c r="O306" s="593"/>
      <c r="P306" s="593"/>
      <c r="Q306" s="593"/>
      <c r="R306" s="593"/>
      <c r="S306" s="592"/>
      <c r="T306" s="592"/>
      <c r="U306" s="592"/>
      <c r="V306" s="592"/>
      <c r="W306" s="592"/>
      <c r="X306" s="153"/>
      <c r="Y306" s="194"/>
    </row>
    <row r="307" spans="1:25" ht="39.950000000000003" customHeight="1" x14ac:dyDescent="0.2">
      <c r="A307" s="273" t="s">
        <v>2779</v>
      </c>
      <c r="B307" s="288" t="str">
        <f>IF(I417&lt;&gt;"",I417,"")</f>
        <v/>
      </c>
      <c r="C307" s="281">
        <f ca="1">VLOOKUP(A307,DB_TBL_DATA_FIELDS[[FIELD_ID]:[PCT_CALC_FIELD_STATUS_CODE]],22,FALSE)</f>
        <v>-1</v>
      </c>
      <c r="D307" s="281" t="str">
        <f>IF(VLOOKUP(A307,DB_TBL_DATA_FIELDS[[FIELD_ID]:[ERROR_MESSAGE]],23,FALSE)&lt;&gt;0,VLOOKUP(A307,DB_TBL_DATA_FIELDS[[FIELD_ID]:[ERROR_MESSAGE]],23,FALSE),"")</f>
        <v/>
      </c>
      <c r="E307" s="281">
        <f>VLOOKUP(A307,DB_TBL_DATA_FIELDS[[#All],[FIELD_ID]:[RANGE_VALIDATION_MAX]],18,FALSE)</f>
        <v>0</v>
      </c>
      <c r="F307" s="281">
        <f>VLOOKUP(A307,DB_TBL_DATA_FIELDS[[#All],[FIELD_ID]:[RANGE_VALIDATION_MAX]],19,FALSE)</f>
        <v>32767</v>
      </c>
      <c r="G307" s="281" t="str">
        <f t="shared" ca="1" si="35"/>
        <v/>
      </c>
      <c r="H307" s="215"/>
      <c r="I307" s="592"/>
      <c r="J307" s="592"/>
      <c r="K307" s="593"/>
      <c r="L307" s="593"/>
      <c r="M307" s="592"/>
      <c r="N307" s="592"/>
      <c r="O307" s="593"/>
      <c r="P307" s="593"/>
      <c r="Q307" s="593"/>
      <c r="R307" s="593"/>
      <c r="S307" s="592"/>
      <c r="T307" s="592"/>
      <c r="U307" s="592"/>
      <c r="V307" s="592"/>
      <c r="W307" s="592"/>
      <c r="X307" s="153"/>
      <c r="Y307" s="194"/>
    </row>
    <row r="308" spans="1:25" ht="21.95" customHeight="1" x14ac:dyDescent="0.2">
      <c r="A308" s="273" t="s">
        <v>2780</v>
      </c>
      <c r="B308" s="288" t="str">
        <f>IF(S417&lt;&gt;"",S417,"")</f>
        <v/>
      </c>
      <c r="C308" s="281">
        <f ca="1">VLOOKUP(A308,DB_TBL_DATA_FIELDS[[FIELD_ID]:[PCT_CALC_FIELD_STATUS_CODE]],22,FALSE)</f>
        <v>-1</v>
      </c>
      <c r="D308" s="281" t="str">
        <f>IF(VLOOKUP(A308,DB_TBL_DATA_FIELDS[[FIELD_ID]:[ERROR_MESSAGE]],23,FALSE)&lt;&gt;0,VLOOKUP(A308,DB_TBL_DATA_FIELDS[[FIELD_ID]:[ERROR_MESSAGE]],23,FALSE),"")</f>
        <v/>
      </c>
      <c r="E308" s="281">
        <f>VLOOKUP(A308,DB_TBL_DATA_FIELDS[[#All],[FIELD_ID]:[RANGE_VALIDATION_MAX]],18,FALSE)</f>
        <v>0</v>
      </c>
      <c r="F308" s="281">
        <f>VLOOKUP(A308,DB_TBL_DATA_FIELDS[[#All],[FIELD_ID]:[RANGE_VALIDATION_MAX]],19,FALSE)</f>
        <v>999999999999</v>
      </c>
      <c r="G308" s="281" t="str">
        <f t="shared" ca="1" si="35"/>
        <v/>
      </c>
      <c r="H308" s="215"/>
      <c r="I308" s="225" t="s">
        <v>2768</v>
      </c>
      <c r="J308" s="359"/>
      <c r="K308" s="359"/>
      <c r="L308" s="359"/>
      <c r="M308" s="359"/>
      <c r="N308" s="359"/>
      <c r="O308" s="359"/>
      <c r="P308" s="359"/>
      <c r="Q308" s="359"/>
      <c r="R308" s="359"/>
      <c r="S308" s="359"/>
      <c r="T308" s="359"/>
      <c r="U308" s="359"/>
      <c r="V308" s="359"/>
      <c r="W308" s="359"/>
      <c r="X308" s="153"/>
      <c r="Y308" s="194"/>
    </row>
    <row r="309" spans="1:25" ht="21.95" customHeight="1" x14ac:dyDescent="0.2">
      <c r="A309" s="273" t="s">
        <v>2781</v>
      </c>
      <c r="B309" s="288" t="str">
        <f>IF(S415&lt;&gt;"",S415,"")</f>
        <v/>
      </c>
      <c r="C309" s="281">
        <f ca="1">VLOOKUP(A309,DB_TBL_DATA_FIELDS[[FIELD_ID]:[PCT_CALC_FIELD_STATUS_CODE]],22,FALSE)</f>
        <v>-1</v>
      </c>
      <c r="D309" s="281" t="str">
        <f>IF(VLOOKUP(A309,DB_TBL_DATA_FIELDS[[FIELD_ID]:[ERROR_MESSAGE]],23,FALSE)&lt;&gt;0,VLOOKUP(A309,DB_TBL_DATA_FIELDS[[FIELD_ID]:[ERROR_MESSAGE]],23,FALSE),"")</f>
        <v/>
      </c>
      <c r="E309" s="281">
        <f>VLOOKUP(A309,DB_TBL_DATA_FIELDS[[#All],[FIELD_ID]:[RANGE_VALIDATION_MAX]],18,FALSE)</f>
        <v>0</v>
      </c>
      <c r="F309" s="281">
        <f>VLOOKUP(A309,DB_TBL_DATA_FIELDS[[#All],[FIELD_ID]:[RANGE_VALIDATION_MAX]],19,FALSE)</f>
        <v>999999999999</v>
      </c>
      <c r="G309" s="281" t="str">
        <f t="shared" ca="1" si="35"/>
        <v/>
      </c>
      <c r="H309" s="215"/>
      <c r="I309" s="354"/>
      <c r="J309" s="354"/>
      <c r="K309" s="354"/>
      <c r="L309" s="354"/>
      <c r="M309" s="354"/>
      <c r="N309" s="354"/>
      <c r="O309" s="354"/>
      <c r="P309" s="354"/>
      <c r="Q309" s="354"/>
      <c r="R309" s="354"/>
      <c r="S309" s="354"/>
      <c r="T309" s="354"/>
      <c r="U309" s="354"/>
      <c r="V309" s="354"/>
      <c r="W309" s="175" t="str">
        <f>SUBSTITUTE(SUBSTITUTE(SUBSTITUTE(IF(LEN(B220)&gt;F220,CONFIG_CHAR_LIMIT_TEMPLATE_ERR,CONFIG_CHAR_LIMIT_TEMPLATE),"[diff]",ABS(LEN(B220)-F220)),"[limit]",F220),"[used]",LEN(B220))</f>
        <v>1500 character(s) remaining</v>
      </c>
      <c r="X309" s="153"/>
      <c r="Y309" s="194"/>
    </row>
    <row r="310" spans="1:25" ht="21.95" customHeight="1" x14ac:dyDescent="0.2">
      <c r="A310" s="273" t="s">
        <v>2782</v>
      </c>
      <c r="B310" s="288" t="str">
        <f>IF(W421&lt;&gt;"",W421,"")</f>
        <v/>
      </c>
      <c r="C310" s="281">
        <f ca="1">VLOOKUP(A310,DB_TBL_DATA_FIELDS[[FIELD_ID]:[PCT_CALC_FIELD_STATUS_CODE]],22,FALSE)</f>
        <v>1</v>
      </c>
      <c r="D310" s="281" t="str">
        <f ca="1">IF(VLOOKUP(A310,DB_TBL_DATA_FIELDS[[FIELD_ID]:[ERROR_MESSAGE]],23,FALSE)&lt;&gt;0,VLOOKUP(A310,DB_TBL_DATA_FIELDS[[FIELD_ID]:[ERROR_MESSAGE]],23,FALSE),"")</f>
        <v/>
      </c>
      <c r="E310" s="281">
        <f>VLOOKUP(A310,DB_TBL_DATA_FIELDS[[#All],[FIELD_ID]:[RANGE_VALIDATION_MAX]],18,FALSE)</f>
        <v>0</v>
      </c>
      <c r="F310" s="281">
        <f>VLOOKUP(A310,DB_TBL_DATA_FIELDS[[#All],[FIELD_ID]:[RANGE_VALIDATION_MAX]],19,FALSE)</f>
        <v>999999999999</v>
      </c>
      <c r="G310" s="281">
        <f t="shared" ca="1" si="35"/>
        <v>1</v>
      </c>
      <c r="H310" s="215"/>
      <c r="I310" s="500"/>
      <c r="J310" s="501"/>
      <c r="K310" s="501"/>
      <c r="L310" s="501"/>
      <c r="M310" s="501"/>
      <c r="N310" s="501"/>
      <c r="O310" s="501"/>
      <c r="P310" s="501"/>
      <c r="Q310" s="501"/>
      <c r="R310" s="501"/>
      <c r="S310" s="501"/>
      <c r="T310" s="501"/>
      <c r="U310" s="501"/>
      <c r="V310" s="501"/>
      <c r="W310" s="502"/>
      <c r="X310" s="165">
        <f ca="1">G220</f>
        <v>1</v>
      </c>
      <c r="Y310" s="194"/>
    </row>
    <row r="311" spans="1:25" ht="21.95" customHeight="1" x14ac:dyDescent="0.2">
      <c r="A311" s="273" t="s">
        <v>2783</v>
      </c>
      <c r="B311" s="288" t="str">
        <f>IF(I424&lt;&gt;"",I424,"")</f>
        <v/>
      </c>
      <c r="C311" s="281">
        <f ca="1">VLOOKUP(A311,DB_TBL_DATA_FIELDS[[FIELD_ID]:[PCT_CALC_FIELD_STATUS_CODE]],22,FALSE)</f>
        <v>-1</v>
      </c>
      <c r="D311" s="281" t="str">
        <f>IF(VLOOKUP(A311,DB_TBL_DATA_FIELDS[[FIELD_ID]:[ERROR_MESSAGE]],23,FALSE)&lt;&gt;0,VLOOKUP(A311,DB_TBL_DATA_FIELDS[[FIELD_ID]:[ERROR_MESSAGE]],23,FALSE),"")</f>
        <v/>
      </c>
      <c r="E311" s="281">
        <f>VLOOKUP(A311,DB_TBL_DATA_FIELDS[[#All],[FIELD_ID]:[RANGE_VALIDATION_MAX]],18,FALSE)</f>
        <v>0</v>
      </c>
      <c r="F311" s="281">
        <f>VLOOKUP(A311,DB_TBL_DATA_FIELDS[[#All],[FIELD_ID]:[RANGE_VALIDATION_MAX]],19,FALSE)</f>
        <v>32767</v>
      </c>
      <c r="G311" s="281" t="str">
        <f t="shared" ca="1" si="35"/>
        <v/>
      </c>
      <c r="H311" s="215"/>
      <c r="I311" s="503"/>
      <c r="J311" s="504"/>
      <c r="K311" s="504"/>
      <c r="L311" s="504"/>
      <c r="M311" s="504"/>
      <c r="N311" s="504"/>
      <c r="O311" s="504"/>
      <c r="P311" s="504"/>
      <c r="Q311" s="504"/>
      <c r="R311" s="504"/>
      <c r="S311" s="504"/>
      <c r="T311" s="504"/>
      <c r="U311" s="504"/>
      <c r="V311" s="504"/>
      <c r="W311" s="505"/>
      <c r="X311" s="153"/>
      <c r="Y311" s="194"/>
    </row>
    <row r="312" spans="1:25" ht="21.95" customHeight="1" x14ac:dyDescent="0.2">
      <c r="A312" s="273" t="s">
        <v>2785</v>
      </c>
      <c r="B312" s="288" t="str">
        <f>IF(O426&lt;&gt;"",O426,"")</f>
        <v/>
      </c>
      <c r="C312" s="281">
        <f ca="1">VLOOKUP(A312,DB_TBL_DATA_FIELDS[[FIELD_ID]:[PCT_CALC_FIELD_STATUS_CODE]],22,FALSE)</f>
        <v>-1</v>
      </c>
      <c r="D312" s="281" t="str">
        <f>IF(VLOOKUP(A312,DB_TBL_DATA_FIELDS[[FIELD_ID]:[ERROR_MESSAGE]],23,FALSE)&lt;&gt;0,VLOOKUP(A312,DB_TBL_DATA_FIELDS[[FIELD_ID]:[ERROR_MESSAGE]],23,FALSE),"")</f>
        <v/>
      </c>
      <c r="E312" s="281">
        <f>VLOOKUP(A312,DB_TBL_DATA_FIELDS[[#All],[FIELD_ID]:[RANGE_VALIDATION_MAX]],18,FALSE)</f>
        <v>0</v>
      </c>
      <c r="F312" s="281">
        <f>VLOOKUP(A312,DB_TBL_DATA_FIELDS[[#All],[FIELD_ID]:[RANGE_VALIDATION_MAX]],19,FALSE)</f>
        <v>999999999999</v>
      </c>
      <c r="G312" s="281" t="str">
        <f t="shared" ca="1" si="35"/>
        <v/>
      </c>
      <c r="H312" s="215"/>
      <c r="I312" s="503"/>
      <c r="J312" s="504"/>
      <c r="K312" s="504"/>
      <c r="L312" s="504"/>
      <c r="M312" s="504"/>
      <c r="N312" s="504"/>
      <c r="O312" s="504"/>
      <c r="P312" s="504"/>
      <c r="Q312" s="504"/>
      <c r="R312" s="504"/>
      <c r="S312" s="504"/>
      <c r="T312" s="504"/>
      <c r="U312" s="504"/>
      <c r="V312" s="504"/>
      <c r="W312" s="505"/>
      <c r="X312" s="153"/>
      <c r="Y312" s="194"/>
    </row>
    <row r="313" spans="1:25" ht="21.95" customHeight="1" x14ac:dyDescent="0.2">
      <c r="A313" s="273" t="s">
        <v>2784</v>
      </c>
      <c r="B313" s="296" t="str">
        <f ca="1">VLOOKUP(A313,'$DB.DATA'!D:H,5,FALSE)</f>
        <v/>
      </c>
      <c r="C313" s="281">
        <f ca="1">VLOOKUP(A313,DB_TBL_DATA_FIELDS[[FIELD_ID]:[PCT_CALC_FIELD_STATUS_CODE]],22,FALSE)</f>
        <v>-1</v>
      </c>
      <c r="D313" s="281" t="str">
        <f>IF(VLOOKUP(A313,DB_TBL_DATA_FIELDS[[FIELD_ID]:[ERROR_MESSAGE]],23,FALSE)&lt;&gt;0,VLOOKUP(A313,DB_TBL_DATA_FIELDS[[FIELD_ID]:[ERROR_MESSAGE]],23,FALSE),"")</f>
        <v/>
      </c>
      <c r="E313" s="281">
        <f>VLOOKUP(A313,DB_TBL_DATA_FIELDS[[#All],[FIELD_ID]:[RANGE_VALIDATION_MAX]],18,FALSE)</f>
        <v>0</v>
      </c>
      <c r="F313" s="281">
        <f>VLOOKUP(A313,DB_TBL_DATA_FIELDS[[#All],[FIELD_ID]:[RANGE_VALIDATION_MAX]],19,FALSE)</f>
        <v>1</v>
      </c>
      <c r="G313" s="281" t="str">
        <f t="shared" ca="1" si="35"/>
        <v/>
      </c>
      <c r="H313" s="215"/>
      <c r="I313" s="503"/>
      <c r="J313" s="504"/>
      <c r="K313" s="504"/>
      <c r="L313" s="504"/>
      <c r="M313" s="504"/>
      <c r="N313" s="504"/>
      <c r="O313" s="504"/>
      <c r="P313" s="504"/>
      <c r="Q313" s="504"/>
      <c r="R313" s="504"/>
      <c r="S313" s="504"/>
      <c r="T313" s="504"/>
      <c r="U313" s="504"/>
      <c r="V313" s="504"/>
      <c r="W313" s="505"/>
      <c r="X313" s="153"/>
      <c r="Y313" s="194"/>
    </row>
    <row r="314" spans="1:25" ht="21.95" customHeight="1" x14ac:dyDescent="0.2">
      <c r="A314" s="273" t="s">
        <v>2786</v>
      </c>
      <c r="B314" s="288" t="str">
        <f>IF(I426&lt;&gt;"",I426,"")</f>
        <v/>
      </c>
      <c r="C314" s="281">
        <f ca="1">VLOOKUP(A314,DB_TBL_DATA_FIELDS[[FIELD_ID]:[PCT_CALC_FIELD_STATUS_CODE]],22,FALSE)</f>
        <v>-1</v>
      </c>
      <c r="D314" s="281" t="str">
        <f>IF(VLOOKUP(A314,DB_TBL_DATA_FIELDS[[FIELD_ID]:[ERROR_MESSAGE]],23,FALSE)&lt;&gt;0,VLOOKUP(A314,DB_TBL_DATA_FIELDS[[FIELD_ID]:[ERROR_MESSAGE]],23,FALSE),"")</f>
        <v/>
      </c>
      <c r="E314" s="281">
        <f>VLOOKUP(A314,DB_TBL_DATA_FIELDS[[#All],[FIELD_ID]:[RANGE_VALIDATION_MAX]],18,FALSE)</f>
        <v>0</v>
      </c>
      <c r="F314" s="281">
        <f>VLOOKUP(A314,DB_TBL_DATA_FIELDS[[#All],[FIELD_ID]:[RANGE_VALIDATION_MAX]],19,FALSE)</f>
        <v>999999999999</v>
      </c>
      <c r="G314" s="281" t="str">
        <f t="shared" ca="1" si="35"/>
        <v/>
      </c>
      <c r="H314" s="215"/>
      <c r="I314" s="503"/>
      <c r="J314" s="504"/>
      <c r="K314" s="504"/>
      <c r="L314" s="504"/>
      <c r="M314" s="504"/>
      <c r="N314" s="504"/>
      <c r="O314" s="504"/>
      <c r="P314" s="504"/>
      <c r="Q314" s="504"/>
      <c r="R314" s="504"/>
      <c r="S314" s="504"/>
      <c r="T314" s="504"/>
      <c r="U314" s="504"/>
      <c r="V314" s="504"/>
      <c r="W314" s="505"/>
      <c r="X314" s="153"/>
      <c r="Y314" s="194"/>
    </row>
    <row r="315" spans="1:25" ht="21.95" customHeight="1" x14ac:dyDescent="0.2">
      <c r="A315" s="273" t="s">
        <v>2787</v>
      </c>
      <c r="B315" s="288" t="str">
        <f>IF(Q424&lt;&gt;"",Q424,"")</f>
        <v/>
      </c>
      <c r="C315" s="281">
        <f ca="1">VLOOKUP(A315,DB_TBL_DATA_FIELDS[[FIELD_ID]:[PCT_CALC_FIELD_STATUS_CODE]],22,FALSE)</f>
        <v>-1</v>
      </c>
      <c r="D315" s="281" t="str">
        <f>IF(VLOOKUP(A315,DB_TBL_DATA_FIELDS[[FIELD_ID]:[ERROR_MESSAGE]],23,FALSE)&lt;&gt;0,VLOOKUP(A315,DB_TBL_DATA_FIELDS[[FIELD_ID]:[ERROR_MESSAGE]],23,FALSE),"")</f>
        <v/>
      </c>
      <c r="E315" s="281">
        <f>VLOOKUP(A315,DB_TBL_DATA_FIELDS[[#All],[FIELD_ID]:[RANGE_VALIDATION_MAX]],18,FALSE)</f>
        <v>0</v>
      </c>
      <c r="F315" s="281">
        <f>VLOOKUP(A315,DB_TBL_DATA_FIELDS[[#All],[FIELD_ID]:[RANGE_VALIDATION_MAX]],19,FALSE)</f>
        <v>32767</v>
      </c>
      <c r="G315" s="281" t="str">
        <f t="shared" ca="1" si="35"/>
        <v/>
      </c>
      <c r="H315" s="215"/>
      <c r="I315" s="506"/>
      <c r="J315" s="507"/>
      <c r="K315" s="507"/>
      <c r="L315" s="507"/>
      <c r="M315" s="507"/>
      <c r="N315" s="507"/>
      <c r="O315" s="507"/>
      <c r="P315" s="507"/>
      <c r="Q315" s="507"/>
      <c r="R315" s="507"/>
      <c r="S315" s="507"/>
      <c r="T315" s="507"/>
      <c r="U315" s="507"/>
      <c r="V315" s="507"/>
      <c r="W315" s="508"/>
      <c r="X315" s="153"/>
      <c r="Y315" s="194"/>
    </row>
    <row r="316" spans="1:25" ht="21.95" customHeight="1" x14ac:dyDescent="0.2">
      <c r="A316" s="273" t="s">
        <v>2788</v>
      </c>
      <c r="B316" s="288" t="str">
        <f>IF(U424&lt;&gt;"",U424,"")</f>
        <v/>
      </c>
      <c r="C316" s="281">
        <f ca="1">VLOOKUP(A316,DB_TBL_DATA_FIELDS[[FIELD_ID]:[PCT_CALC_FIELD_STATUS_CODE]],22,FALSE)</f>
        <v>-1</v>
      </c>
      <c r="D316" s="281" t="str">
        <f>IF(VLOOKUP(A316,DB_TBL_DATA_FIELDS[[FIELD_ID]:[ERROR_MESSAGE]],23,FALSE)&lt;&gt;0,VLOOKUP(A316,DB_TBL_DATA_FIELDS[[FIELD_ID]:[ERROR_MESSAGE]],23,FALSE),"")</f>
        <v/>
      </c>
      <c r="E316" s="281">
        <f>VLOOKUP(A316,DB_TBL_DATA_FIELDS[[#All],[FIELD_ID]:[RANGE_VALIDATION_MAX]],18,FALSE)</f>
        <v>0</v>
      </c>
      <c r="F316" s="281">
        <f>VLOOKUP(A316,DB_TBL_DATA_FIELDS[[#All],[FIELD_ID]:[RANGE_VALIDATION_MAX]],19,FALSE)</f>
        <v>32767</v>
      </c>
      <c r="G316" s="281" t="str">
        <f t="shared" ca="1" si="35"/>
        <v/>
      </c>
      <c r="H316" s="215"/>
      <c r="I316" s="194"/>
      <c r="J316" s="153"/>
      <c r="K316" s="194"/>
      <c r="L316" s="153"/>
      <c r="M316" s="194"/>
      <c r="N316" s="153"/>
      <c r="O316" s="194"/>
      <c r="P316" s="153"/>
      <c r="Q316" s="194"/>
      <c r="R316" s="153"/>
      <c r="S316" s="194"/>
      <c r="T316" s="153"/>
      <c r="U316" s="194"/>
      <c r="V316" s="153"/>
      <c r="W316" s="194"/>
      <c r="X316" s="153"/>
      <c r="Y316" s="194"/>
    </row>
    <row r="317" spans="1:25" ht="21.95" customHeight="1" thickBot="1" x14ac:dyDescent="0.25">
      <c r="A317" s="273" t="s">
        <v>2859</v>
      </c>
      <c r="B317" s="296" t="str">
        <f ca="1">VLOOKUP(A317,'$DB.DATA'!D:H,5,FALSE)</f>
        <v/>
      </c>
      <c r="C317" s="281" t="str">
        <f ca="1">VLOOKUP(A317,DB_TBL_DATA_FIELDS[[FIELD_ID]:[PCT_CALC_FIELD_STATUS_CODE]],22,FALSE)</f>
        <v/>
      </c>
      <c r="D317" s="281" t="str">
        <f ca="1">IF(VLOOKUP(A317,DB_TBL_DATA_FIELDS[[FIELD_ID]:[ERROR_MESSAGE]],23,FALSE)&lt;&gt;0,VLOOKUP(A317,DB_TBL_DATA_FIELDS[[FIELD_ID]:[ERROR_MESSAGE]],23,FALSE),"")</f>
        <v/>
      </c>
      <c r="E317" s="281">
        <f>VLOOKUP(A317,DB_TBL_DATA_FIELDS[[#All],[FIELD_ID]:[RANGE_VALIDATION_MAX]],18,FALSE)</f>
        <v>0</v>
      </c>
      <c r="F317" s="281">
        <f>VLOOKUP(A317,DB_TBL_DATA_FIELDS[[#All],[FIELD_ID]:[RANGE_VALIDATION_MAX]],19,FALSE)</f>
        <v>1</v>
      </c>
      <c r="G317" s="281" t="str">
        <f t="shared" ca="1" si="35"/>
        <v/>
      </c>
      <c r="H317" s="215"/>
      <c r="I317" s="424" t="str">
        <f>B232</f>
        <v>Development Partner(s)</v>
      </c>
      <c r="J317" s="269"/>
      <c r="K317" s="269"/>
      <c r="L317" s="269"/>
      <c r="M317" s="269"/>
      <c r="N317" s="269"/>
      <c r="O317" s="269"/>
      <c r="P317" s="269"/>
      <c r="Q317" s="269"/>
      <c r="R317" s="269"/>
      <c r="S317" s="269"/>
      <c r="T317" s="269"/>
      <c r="U317" s="269"/>
      <c r="V317" s="269"/>
      <c r="W317" s="269"/>
      <c r="X317" s="167" t="str">
        <f ca="1">"Status: "&amp;$B$226</f>
        <v>Status: Not Started</v>
      </c>
      <c r="Y317" s="194"/>
    </row>
    <row r="318" spans="1:25" ht="21.95" customHeight="1" x14ac:dyDescent="0.2">
      <c r="A318" s="273" t="s">
        <v>2789</v>
      </c>
      <c r="B318" s="288" t="str">
        <f t="shared" ref="B318:B323" si="36">IF(W433="","",IF(UPPER(W433)="YES",TRUE,FALSE))</f>
        <v/>
      </c>
      <c r="C318" s="281">
        <f ca="1">VLOOKUP(A318,DB_TBL_DATA_FIELDS[[FIELD_ID]:[PCT_CALC_FIELD_STATUS_CODE]],22,FALSE)</f>
        <v>-1</v>
      </c>
      <c r="D318" s="281" t="str">
        <f>IF(VLOOKUP(A318,DB_TBL_DATA_FIELDS[[FIELD_ID]:[ERROR_MESSAGE]],23,FALSE)&lt;&gt;0,VLOOKUP(A318,DB_TBL_DATA_FIELDS[[FIELD_ID]:[ERROR_MESSAGE]],23,FALSE),"")</f>
        <v/>
      </c>
      <c r="E318" s="281">
        <f>VLOOKUP(A318,DB_TBL_DATA_FIELDS[[#All],[FIELD_ID]:[RANGE_VALIDATION_MAX]],18,FALSE)</f>
        <v>0</v>
      </c>
      <c r="F318" s="281">
        <f>VLOOKUP(A318,DB_TBL_DATA_FIELDS[[#All],[FIELD_ID]:[RANGE_VALIDATION_MAX]],19,FALSE)</f>
        <v>1</v>
      </c>
      <c r="G318" s="281" t="str">
        <f t="shared" ca="1" si="35"/>
        <v/>
      </c>
      <c r="H318" s="215"/>
      <c r="I318" s="194"/>
      <c r="J318" s="153"/>
      <c r="K318" s="194"/>
      <c r="L318" s="153"/>
      <c r="M318" s="194"/>
      <c r="N318" s="153"/>
      <c r="O318" s="194"/>
      <c r="P318" s="153"/>
      <c r="Q318" s="194"/>
      <c r="R318" s="153"/>
      <c r="S318" s="194"/>
      <c r="T318" s="153"/>
      <c r="U318" s="194"/>
      <c r="V318" s="153"/>
      <c r="W318" s="194"/>
      <c r="X318" s="153"/>
      <c r="Y318" s="194"/>
    </row>
    <row r="319" spans="1:25" ht="21.95" customHeight="1" thickBot="1" x14ac:dyDescent="0.25">
      <c r="A319" s="273" t="s">
        <v>2812</v>
      </c>
      <c r="B319" s="288" t="str">
        <f t="shared" si="36"/>
        <v/>
      </c>
      <c r="C319" s="281">
        <f ca="1">VLOOKUP(A319,DB_TBL_DATA_FIELDS[[FIELD_ID]:[PCT_CALC_FIELD_STATUS_CODE]],22,FALSE)</f>
        <v>-1</v>
      </c>
      <c r="D319" s="281" t="str">
        <f>IF(VLOOKUP(A319,DB_TBL_DATA_FIELDS[[FIELD_ID]:[ERROR_MESSAGE]],23,FALSE)&lt;&gt;0,VLOOKUP(A319,DB_TBL_DATA_FIELDS[[FIELD_ID]:[ERROR_MESSAGE]],23,FALSE),"")</f>
        <v/>
      </c>
      <c r="E319" s="281">
        <f>VLOOKUP(A319,DB_TBL_DATA_FIELDS[[#All],[FIELD_ID]:[RANGE_VALIDATION_MAX]],18,FALSE)</f>
        <v>0</v>
      </c>
      <c r="F319" s="281">
        <f>VLOOKUP(A319,DB_TBL_DATA_FIELDS[[#All],[FIELD_ID]:[RANGE_VALIDATION_MAX]],19,FALSE)</f>
        <v>1</v>
      </c>
      <c r="G319" s="281" t="str">
        <f t="shared" ca="1" si="35"/>
        <v/>
      </c>
      <c r="H319" s="215"/>
      <c r="I319" s="216" t="s">
        <v>2769</v>
      </c>
      <c r="J319" s="217"/>
      <c r="K319" s="223"/>
      <c r="L319" s="217"/>
      <c r="M319" s="223"/>
      <c r="N319" s="217"/>
      <c r="O319" s="223"/>
      <c r="P319" s="217"/>
      <c r="Q319" s="223"/>
      <c r="R319" s="217"/>
      <c r="S319" s="223"/>
      <c r="T319" s="217"/>
      <c r="U319" s="223"/>
      <c r="V319" s="217"/>
      <c r="W319" s="223"/>
      <c r="X319" s="153"/>
      <c r="Y319" s="194"/>
    </row>
    <row r="320" spans="1:25" ht="21.95" customHeight="1" thickTop="1" x14ac:dyDescent="0.2">
      <c r="A320" s="273" t="s">
        <v>2790</v>
      </c>
      <c r="B320" s="288" t="str">
        <f t="shared" si="36"/>
        <v/>
      </c>
      <c r="C320" s="281">
        <f ca="1">VLOOKUP(A320,DB_TBL_DATA_FIELDS[[FIELD_ID]:[PCT_CALC_FIELD_STATUS_CODE]],22,FALSE)</f>
        <v>-1</v>
      </c>
      <c r="D320" s="281" t="str">
        <f>IF(VLOOKUP(A320,DB_TBL_DATA_FIELDS[[FIELD_ID]:[ERROR_MESSAGE]],23,FALSE)&lt;&gt;0,VLOOKUP(A320,DB_TBL_DATA_FIELDS[[FIELD_ID]:[ERROR_MESSAGE]],23,FALSE),"")</f>
        <v/>
      </c>
      <c r="E320" s="281">
        <f>VLOOKUP(A320,DB_TBL_DATA_FIELDS[[#All],[FIELD_ID]:[RANGE_VALIDATION_MAX]],18,FALSE)</f>
        <v>0</v>
      </c>
      <c r="F320" s="281">
        <f>VLOOKUP(A320,DB_TBL_DATA_FIELDS[[#All],[FIELD_ID]:[RANGE_VALIDATION_MAX]],19,FALSE)</f>
        <v>1</v>
      </c>
      <c r="G320" s="281" t="str">
        <f t="shared" ca="1" si="35"/>
        <v/>
      </c>
      <c r="H320" s="215"/>
      <c r="I320" s="204" t="s">
        <v>3441</v>
      </c>
      <c r="J320" s="153"/>
      <c r="K320" s="194"/>
      <c r="L320" s="153"/>
      <c r="M320" s="194"/>
      <c r="N320" s="153"/>
      <c r="O320" s="194"/>
      <c r="P320" s="153"/>
      <c r="Q320" s="194"/>
      <c r="R320" s="153"/>
      <c r="S320" s="194"/>
      <c r="T320" s="153"/>
      <c r="U320" s="194"/>
      <c r="V320" s="153"/>
      <c r="W320" s="194"/>
      <c r="X320" s="153"/>
      <c r="Y320" s="194"/>
    </row>
    <row r="321" spans="1:25" ht="21.95" customHeight="1" x14ac:dyDescent="0.2">
      <c r="A321" s="273" t="s">
        <v>2791</v>
      </c>
      <c r="B321" s="288" t="str">
        <f t="shared" si="36"/>
        <v/>
      </c>
      <c r="C321" s="281">
        <f ca="1">VLOOKUP(A321,DB_TBL_DATA_FIELDS[[FIELD_ID]:[PCT_CALC_FIELD_STATUS_CODE]],22,FALSE)</f>
        <v>-1</v>
      </c>
      <c r="D321" s="281" t="str">
        <f>IF(VLOOKUP(A321,DB_TBL_DATA_FIELDS[[FIELD_ID]:[ERROR_MESSAGE]],23,FALSE)&lt;&gt;0,VLOOKUP(A321,DB_TBL_DATA_FIELDS[[FIELD_ID]:[ERROR_MESSAGE]],23,FALSE),"")</f>
        <v/>
      </c>
      <c r="E321" s="281">
        <f>VLOOKUP(A321,DB_TBL_DATA_FIELDS[[#All],[FIELD_ID]:[RANGE_VALIDATION_MAX]],18,FALSE)</f>
        <v>0</v>
      </c>
      <c r="F321" s="281">
        <f>VLOOKUP(A321,DB_TBL_DATA_FIELDS[[#All],[FIELD_ID]:[RANGE_VALIDATION_MAX]],19,FALSE)</f>
        <v>1</v>
      </c>
      <c r="G321" s="281" t="str">
        <f t="shared" ca="1" si="35"/>
        <v/>
      </c>
      <c r="H321" s="215"/>
      <c r="I321" s="466"/>
      <c r="J321" s="467"/>
      <c r="K321" s="467"/>
      <c r="L321" s="467"/>
      <c r="M321" s="467"/>
      <c r="N321" s="467"/>
      <c r="O321" s="467"/>
      <c r="P321" s="467"/>
      <c r="Q321" s="467"/>
      <c r="R321" s="467"/>
      <c r="S321" s="467"/>
      <c r="T321" s="467"/>
      <c r="U321" s="467"/>
      <c r="V321" s="467"/>
      <c r="W321" s="468"/>
      <c r="X321" s="165" t="str">
        <f ca="1">G233</f>
        <v/>
      </c>
      <c r="Y321" s="194"/>
    </row>
    <row r="322" spans="1:25" ht="21.95" customHeight="1" x14ac:dyDescent="0.2">
      <c r="A322" s="273" t="s">
        <v>2792</v>
      </c>
      <c r="B322" s="288" t="str">
        <f t="shared" si="36"/>
        <v/>
      </c>
      <c r="C322" s="281">
        <f ca="1">VLOOKUP(A322,DB_TBL_DATA_FIELDS[[FIELD_ID]:[PCT_CALC_FIELD_STATUS_CODE]],22,FALSE)</f>
        <v>-1</v>
      </c>
      <c r="D322" s="281" t="str">
        <f>IF(VLOOKUP(A322,DB_TBL_DATA_FIELDS[[FIELD_ID]:[ERROR_MESSAGE]],23,FALSE)&lt;&gt;0,VLOOKUP(A322,DB_TBL_DATA_FIELDS[[FIELD_ID]:[ERROR_MESSAGE]],23,FALSE),"")</f>
        <v/>
      </c>
      <c r="E322" s="281">
        <f>VLOOKUP(A322,DB_TBL_DATA_FIELDS[[#All],[FIELD_ID]:[RANGE_VALIDATION_MAX]],18,FALSE)</f>
        <v>0</v>
      </c>
      <c r="F322" s="281">
        <f>VLOOKUP(A322,DB_TBL_DATA_FIELDS[[#All],[FIELD_ID]:[RANGE_VALIDATION_MAX]],19,FALSE)</f>
        <v>1</v>
      </c>
      <c r="G322" s="281" t="str">
        <f t="shared" ca="1" si="35"/>
        <v/>
      </c>
      <c r="H322" s="215"/>
      <c r="I322" s="204" t="s">
        <v>3442</v>
      </c>
      <c r="J322" s="153"/>
      <c r="K322" s="194"/>
      <c r="L322" s="153"/>
      <c r="M322" s="194"/>
      <c r="N322" s="153"/>
      <c r="O322" s="194"/>
      <c r="P322" s="153"/>
      <c r="Q322" s="194"/>
      <c r="R322" s="153"/>
      <c r="S322" s="194"/>
      <c r="T322" s="153"/>
      <c r="U322" s="194"/>
      <c r="V322" s="153"/>
      <c r="W322" s="194"/>
      <c r="X322" s="153"/>
      <c r="Y322" s="194"/>
    </row>
    <row r="323" spans="1:25" ht="21.95" customHeight="1" x14ac:dyDescent="0.2">
      <c r="A323" s="273" t="s">
        <v>2793</v>
      </c>
      <c r="B323" s="288" t="str">
        <f t="shared" si="36"/>
        <v/>
      </c>
      <c r="C323" s="281">
        <f ca="1">VLOOKUP(A323,DB_TBL_DATA_FIELDS[[FIELD_ID]:[PCT_CALC_FIELD_STATUS_CODE]],22,FALSE)</f>
        <v>-1</v>
      </c>
      <c r="D323" s="281" t="str">
        <f>IF(VLOOKUP(A323,DB_TBL_DATA_FIELDS[[FIELD_ID]:[ERROR_MESSAGE]],23,FALSE)&lt;&gt;0,VLOOKUP(A323,DB_TBL_DATA_FIELDS[[FIELD_ID]:[ERROR_MESSAGE]],23,FALSE),"")</f>
        <v/>
      </c>
      <c r="E323" s="281">
        <f>VLOOKUP(A323,DB_TBL_DATA_FIELDS[[#All],[FIELD_ID]:[RANGE_VALIDATION_MAX]],18,FALSE)</f>
        <v>0</v>
      </c>
      <c r="F323" s="281">
        <f>VLOOKUP(A323,DB_TBL_DATA_FIELDS[[#All],[FIELD_ID]:[RANGE_VALIDATION_MAX]],19,FALSE)</f>
        <v>1</v>
      </c>
      <c r="G323" s="281" t="str">
        <f t="shared" ca="1" si="35"/>
        <v/>
      </c>
      <c r="H323" s="215"/>
      <c r="I323" s="466"/>
      <c r="J323" s="467"/>
      <c r="K323" s="467"/>
      <c r="L323" s="467"/>
      <c r="M323" s="467"/>
      <c r="N323" s="467"/>
      <c r="O323" s="467"/>
      <c r="P323" s="467"/>
      <c r="Q323" s="467"/>
      <c r="R323" s="467"/>
      <c r="S323" s="467"/>
      <c r="T323" s="467"/>
      <c r="U323" s="467"/>
      <c r="V323" s="467"/>
      <c r="W323" s="468"/>
      <c r="X323" s="165" t="str">
        <f ca="1">G234</f>
        <v/>
      </c>
      <c r="Y323" s="194"/>
    </row>
    <row r="324" spans="1:25" ht="21.95" customHeight="1" x14ac:dyDescent="0.2">
      <c r="A324" s="290" t="s">
        <v>333</v>
      </c>
      <c r="B324" s="282" t="str">
        <f>"C"&amp;MATCH(LEFT(A324,LEN(A324)-LEN("_RANGE")),A:A,0)+1&amp;":C"&amp;(ROW()-1)</f>
        <v>C300:C323</v>
      </c>
      <c r="C324" s="281"/>
      <c r="D324" s="281"/>
      <c r="E324" s="281"/>
      <c r="F324" s="281"/>
      <c r="G324" s="281"/>
      <c r="H324" s="215"/>
      <c r="I324" s="346" t="s">
        <v>3443</v>
      </c>
      <c r="J324" s="356"/>
      <c r="K324" s="356"/>
      <c r="L324" s="356"/>
      <c r="M324" s="356"/>
      <c r="N324" s="356"/>
      <c r="O324" s="356"/>
      <c r="P324" s="356"/>
      <c r="Q324" s="356"/>
      <c r="R324" s="356"/>
      <c r="S324" s="356"/>
      <c r="T324" s="356"/>
      <c r="U324" s="356"/>
      <c r="V324" s="356"/>
      <c r="W324" s="175" t="str">
        <f>SUBSTITUTE(SUBSTITUTE(SUBSTITUTE(IF(LEN(B236)&gt;F236,CONFIG_CHAR_LIMIT_TEMPLATE_ERR,CONFIG_CHAR_LIMIT_TEMPLATE),"[diff]",ABS(LEN(B236)-F236)),"[limit]",F236),"[used]",LEN(B236))</f>
        <v>2000 character(s) remaining</v>
      </c>
      <c r="X324" s="153"/>
      <c r="Y324" s="194"/>
    </row>
    <row r="325" spans="1:25" ht="21.95" customHeight="1" x14ac:dyDescent="0.2">
      <c r="A325" s="290" t="s">
        <v>334</v>
      </c>
      <c r="B325" s="282">
        <f ca="1">COUNTIF(INDIRECT($B324),2)</f>
        <v>0</v>
      </c>
      <c r="C325" s="281"/>
      <c r="D325" s="281"/>
      <c r="E325" s="281"/>
      <c r="F325" s="281"/>
      <c r="G325" s="281"/>
      <c r="H325" s="215"/>
      <c r="I325" s="500"/>
      <c r="J325" s="501"/>
      <c r="K325" s="501"/>
      <c r="L325" s="501"/>
      <c r="M325" s="501"/>
      <c r="N325" s="501"/>
      <c r="O325" s="501"/>
      <c r="P325" s="501"/>
      <c r="Q325" s="501"/>
      <c r="R325" s="501"/>
      <c r="S325" s="501"/>
      <c r="T325" s="501"/>
      <c r="U325" s="501"/>
      <c r="V325" s="501"/>
      <c r="W325" s="502"/>
      <c r="X325" s="165" t="str">
        <f ca="1">G236</f>
        <v/>
      </c>
      <c r="Y325" s="194"/>
    </row>
    <row r="326" spans="1:25" ht="21.95" customHeight="1" x14ac:dyDescent="0.2">
      <c r="A326" s="290" t="s">
        <v>335</v>
      </c>
      <c r="B326" s="282">
        <f ca="1">COUNTIF(INDIRECT($B324),0)+COUNTIF(INDIRECT($B324),1)+COUNTIF(INDIRECT($B324),2)</f>
        <v>3</v>
      </c>
      <c r="C326" s="281"/>
      <c r="D326" s="281"/>
      <c r="E326" s="281"/>
      <c r="F326" s="281"/>
      <c r="G326" s="281"/>
      <c r="H326" s="215"/>
      <c r="I326" s="503"/>
      <c r="J326" s="504"/>
      <c r="K326" s="504"/>
      <c r="L326" s="504"/>
      <c r="M326" s="504"/>
      <c r="N326" s="504"/>
      <c r="O326" s="504"/>
      <c r="P326" s="504"/>
      <c r="Q326" s="504"/>
      <c r="R326" s="504"/>
      <c r="S326" s="504"/>
      <c r="T326" s="504"/>
      <c r="U326" s="504"/>
      <c r="V326" s="504"/>
      <c r="W326" s="505"/>
      <c r="X326" s="153"/>
      <c r="Y326" s="194"/>
    </row>
    <row r="327" spans="1:25" ht="21.95" customHeight="1" x14ac:dyDescent="0.2">
      <c r="A327" s="290" t="s">
        <v>336</v>
      </c>
      <c r="B327" s="282">
        <f ca="1">COUNTIF(INDIRECT($B324),0)</f>
        <v>0</v>
      </c>
      <c r="C327" s="281" t="s">
        <v>2607</v>
      </c>
      <c r="D327" s="281"/>
      <c r="E327" s="281"/>
      <c r="F327" s="281"/>
      <c r="G327" s="281"/>
      <c r="H327" s="215"/>
      <c r="I327" s="503"/>
      <c r="J327" s="504"/>
      <c r="K327" s="504"/>
      <c r="L327" s="504"/>
      <c r="M327" s="504"/>
      <c r="N327" s="504"/>
      <c r="O327" s="504"/>
      <c r="P327" s="504"/>
      <c r="Q327" s="504"/>
      <c r="R327" s="504"/>
      <c r="S327" s="504"/>
      <c r="T327" s="504"/>
      <c r="U327" s="504"/>
      <c r="V327" s="504"/>
      <c r="W327" s="505"/>
      <c r="X327" s="153"/>
      <c r="Y327" s="194"/>
    </row>
    <row r="328" spans="1:25" ht="21.95" customHeight="1" x14ac:dyDescent="0.2">
      <c r="A328" s="290" t="s">
        <v>337</v>
      </c>
      <c r="B328" s="291">
        <f ca="1">IFERROR(B325/B326,1.01)</f>
        <v>0</v>
      </c>
      <c r="C328" s="281"/>
      <c r="D328" s="281"/>
      <c r="E328" s="281"/>
      <c r="F328" s="281"/>
      <c r="G328" s="281"/>
      <c r="H328" s="215"/>
      <c r="I328" s="503"/>
      <c r="J328" s="504"/>
      <c r="K328" s="504"/>
      <c r="L328" s="504"/>
      <c r="M328" s="504"/>
      <c r="N328" s="504"/>
      <c r="O328" s="504"/>
      <c r="P328" s="504"/>
      <c r="Q328" s="504"/>
      <c r="R328" s="504"/>
      <c r="S328" s="504"/>
      <c r="T328" s="504"/>
      <c r="U328" s="504"/>
      <c r="V328" s="504"/>
      <c r="W328" s="505"/>
      <c r="X328" s="153"/>
      <c r="Y328" s="194"/>
    </row>
    <row r="329" spans="1:25" ht="21.95" customHeight="1" x14ac:dyDescent="0.2">
      <c r="A329" s="290" t="s">
        <v>338</v>
      </c>
      <c r="B329" s="292" t="str">
        <f ca="1">IF(B327&gt;0,"Data Error(s)",IF(B328=0,"Not Started",IF(B328&lt;1,ROUNDUP(B328*100,0)&amp;"% Done",IF(B328&gt;1,"Optional","Complete"))))</f>
        <v>Not Started</v>
      </c>
      <c r="C329" s="281"/>
      <c r="D329" s="281"/>
      <c r="E329" s="281"/>
      <c r="F329" s="281"/>
      <c r="G329" s="281"/>
      <c r="H329" s="215"/>
      <c r="I329" s="503"/>
      <c r="J329" s="504"/>
      <c r="K329" s="504"/>
      <c r="L329" s="504"/>
      <c r="M329" s="504"/>
      <c r="N329" s="504"/>
      <c r="O329" s="504"/>
      <c r="P329" s="504"/>
      <c r="Q329" s="504"/>
      <c r="R329" s="504"/>
      <c r="S329" s="504"/>
      <c r="T329" s="504"/>
      <c r="U329" s="504"/>
      <c r="V329" s="504"/>
      <c r="W329" s="505"/>
      <c r="X329" s="153"/>
      <c r="Y329" s="194"/>
    </row>
    <row r="330" spans="1:25" ht="21.95" customHeight="1" x14ac:dyDescent="0.2">
      <c r="A330" s="290" t="s">
        <v>339</v>
      </c>
      <c r="B330" s="282" t="str">
        <f ca="1">IF(B327&gt;0,0,IF(B328&lt;1,"",2))</f>
        <v/>
      </c>
      <c r="C330" s="281"/>
      <c r="D330" s="281"/>
      <c r="E330" s="281"/>
      <c r="F330" s="281"/>
      <c r="G330" s="281"/>
      <c r="H330" s="215"/>
      <c r="I330" s="503"/>
      <c r="J330" s="504"/>
      <c r="K330" s="504"/>
      <c r="L330" s="504"/>
      <c r="M330" s="504"/>
      <c r="N330" s="504"/>
      <c r="O330" s="504"/>
      <c r="P330" s="504"/>
      <c r="Q330" s="504"/>
      <c r="R330" s="504"/>
      <c r="S330" s="504"/>
      <c r="T330" s="504"/>
      <c r="U330" s="504"/>
      <c r="V330" s="504"/>
      <c r="W330" s="505"/>
      <c r="X330" s="153"/>
      <c r="Y330" s="194"/>
    </row>
    <row r="331" spans="1:25" ht="21.95" customHeight="1" x14ac:dyDescent="0.2">
      <c r="A331" s="290" t="s">
        <v>340</v>
      </c>
      <c r="B331" s="293" t="s">
        <v>2841</v>
      </c>
      <c r="C331" s="281"/>
      <c r="D331" s="281"/>
      <c r="E331" s="281"/>
      <c r="F331" s="281"/>
      <c r="G331" s="281"/>
      <c r="H331" s="215"/>
      <c r="I331" s="503"/>
      <c r="J331" s="504"/>
      <c r="K331" s="504"/>
      <c r="L331" s="504"/>
      <c r="M331" s="504"/>
      <c r="N331" s="504"/>
      <c r="O331" s="504"/>
      <c r="P331" s="504"/>
      <c r="Q331" s="504"/>
      <c r="R331" s="504"/>
      <c r="S331" s="504"/>
      <c r="T331" s="504"/>
      <c r="U331" s="504"/>
      <c r="V331" s="504"/>
      <c r="W331" s="505"/>
      <c r="X331" s="153"/>
      <c r="Y331" s="194"/>
    </row>
    <row r="332" spans="1:25" ht="21.95" customHeight="1" x14ac:dyDescent="0.2">
      <c r="A332" s="294" t="s">
        <v>2373</v>
      </c>
      <c r="B332" s="300" t="str">
        <f ca="1">IF(D317&lt;&gt;"",D317,"")</f>
        <v/>
      </c>
      <c r="C332" s="281">
        <f ca="1">IF(B332="",0,1)</f>
        <v>0</v>
      </c>
      <c r="D332" s="281"/>
      <c r="E332" s="281"/>
      <c r="F332" s="281"/>
      <c r="G332" s="281"/>
      <c r="H332" s="215"/>
      <c r="I332" s="503"/>
      <c r="J332" s="504"/>
      <c r="K332" s="504"/>
      <c r="L332" s="504"/>
      <c r="M332" s="504"/>
      <c r="N332" s="504"/>
      <c r="O332" s="504"/>
      <c r="P332" s="504"/>
      <c r="Q332" s="504"/>
      <c r="R332" s="504"/>
      <c r="S332" s="504"/>
      <c r="T332" s="504"/>
      <c r="U332" s="504"/>
      <c r="V332" s="504"/>
      <c r="W332" s="505"/>
      <c r="X332" s="153"/>
      <c r="Y332" s="194"/>
    </row>
    <row r="333" spans="1:25" ht="21.95" customHeight="1" x14ac:dyDescent="0.2">
      <c r="A333" s="294" t="s">
        <v>2348</v>
      </c>
      <c r="B333" s="282">
        <f ca="1">SUM(C332)</f>
        <v>0</v>
      </c>
      <c r="C333" s="281" t="s">
        <v>2462</v>
      </c>
      <c r="D333" s="281"/>
      <c r="E333" s="281"/>
      <c r="F333" s="281"/>
      <c r="G333" s="281"/>
      <c r="H333" s="215"/>
      <c r="I333" s="506"/>
      <c r="J333" s="507"/>
      <c r="K333" s="507"/>
      <c r="L333" s="507"/>
      <c r="M333" s="507"/>
      <c r="N333" s="507"/>
      <c r="O333" s="507"/>
      <c r="P333" s="507"/>
      <c r="Q333" s="507"/>
      <c r="R333" s="507"/>
      <c r="S333" s="507"/>
      <c r="T333" s="507"/>
      <c r="U333" s="507"/>
      <c r="V333" s="507"/>
      <c r="W333" s="508"/>
      <c r="X333" s="153"/>
      <c r="Y333" s="194"/>
    </row>
    <row r="334" spans="1:25" ht="20.100000000000001" customHeight="1" x14ac:dyDescent="0.2">
      <c r="A334" s="294" t="s">
        <v>2349</v>
      </c>
      <c r="B334" s="282" t="b">
        <f ca="1">(B333&gt;0)</f>
        <v>0</v>
      </c>
      <c r="C334" s="281"/>
      <c r="D334" s="281"/>
      <c r="E334" s="281"/>
      <c r="F334" s="281"/>
      <c r="G334" s="281"/>
      <c r="H334" s="215"/>
      <c r="I334" s="358" t="s">
        <v>3553</v>
      </c>
      <c r="J334" s="344"/>
      <c r="K334" s="344"/>
      <c r="L334" s="344"/>
      <c r="M334" s="344"/>
      <c r="N334" s="344"/>
      <c r="O334" s="344"/>
      <c r="P334" s="344"/>
      <c r="Q334" s="344"/>
      <c r="R334" s="344"/>
      <c r="S334" s="344"/>
      <c r="T334" s="344"/>
      <c r="U334" s="344"/>
      <c r="V334" s="344"/>
      <c r="W334" s="344"/>
      <c r="X334" s="153"/>
      <c r="Y334" s="194"/>
    </row>
    <row r="335" spans="1:25" ht="39.950000000000003" customHeight="1" x14ac:dyDescent="0.2">
      <c r="A335" s="440" t="s">
        <v>3915</v>
      </c>
      <c r="B335" s="282">
        <v>5</v>
      </c>
      <c r="C335" s="281"/>
      <c r="D335" s="281"/>
      <c r="E335" s="281"/>
      <c r="F335" s="281"/>
      <c r="G335" s="281"/>
      <c r="H335" s="215"/>
      <c r="I335" s="457" t="s">
        <v>61</v>
      </c>
      <c r="J335" s="458"/>
      <c r="K335" s="457" t="s">
        <v>3554</v>
      </c>
      <c r="L335" s="458"/>
      <c r="M335" s="457" t="s">
        <v>220</v>
      </c>
      <c r="N335" s="458"/>
      <c r="O335" s="457" t="s">
        <v>274</v>
      </c>
      <c r="P335" s="458"/>
      <c r="Q335" s="457" t="s">
        <v>3555</v>
      </c>
      <c r="R335" s="458"/>
      <c r="S335" s="457" t="s">
        <v>3556</v>
      </c>
      <c r="T335" s="458"/>
      <c r="U335" s="589" t="s">
        <v>3557</v>
      </c>
      <c r="V335" s="590"/>
      <c r="W335" s="591"/>
      <c r="X335" s="165" t="str">
        <f ca="1">G237</f>
        <v/>
      </c>
      <c r="Y335" s="194"/>
    </row>
    <row r="336" spans="1:25" ht="39.950000000000003" customHeight="1" x14ac:dyDescent="0.2">
      <c r="A336" s="440" t="s">
        <v>3916</v>
      </c>
      <c r="B336" s="282">
        <f ca="1">DATA_SCORE_DONATEDCONVEYED_FINAL</f>
        <v>0</v>
      </c>
      <c r="C336" s="281"/>
      <c r="D336" s="281"/>
      <c r="E336" s="281"/>
      <c r="F336" s="281"/>
      <c r="G336" s="281"/>
      <c r="H336" s="215"/>
      <c r="I336" s="592"/>
      <c r="J336" s="592"/>
      <c r="K336" s="593"/>
      <c r="L336" s="593"/>
      <c r="M336" s="592"/>
      <c r="N336" s="592"/>
      <c r="O336" s="593"/>
      <c r="P336" s="593"/>
      <c r="Q336" s="593"/>
      <c r="R336" s="593"/>
      <c r="S336" s="592"/>
      <c r="T336" s="592"/>
      <c r="U336" s="592"/>
      <c r="V336" s="592"/>
      <c r="W336" s="592"/>
      <c r="X336" s="165"/>
      <c r="Y336" s="194"/>
    </row>
    <row r="337" spans="1:25" ht="39.950000000000003" customHeight="1" x14ac:dyDescent="0.2">
      <c r="A337" s="440" t="s">
        <v>3917</v>
      </c>
      <c r="B337" s="282" t="str">
        <f>SUBSTITUTE(CONFIG_POINT_HEADER_TEMPLATE,"[MAX]",B335)</f>
        <v>(Maximum Points: 5)</v>
      </c>
      <c r="C337" s="281"/>
      <c r="D337" s="281"/>
      <c r="E337" s="281"/>
      <c r="F337" s="281"/>
      <c r="G337" s="281"/>
      <c r="H337" s="215"/>
      <c r="I337" s="592"/>
      <c r="J337" s="592"/>
      <c r="K337" s="593"/>
      <c r="L337" s="593"/>
      <c r="M337" s="592"/>
      <c r="N337" s="592"/>
      <c r="O337" s="593"/>
      <c r="P337" s="593"/>
      <c r="Q337" s="593"/>
      <c r="R337" s="593"/>
      <c r="S337" s="592"/>
      <c r="T337" s="592"/>
      <c r="U337" s="592"/>
      <c r="V337" s="592"/>
      <c r="W337" s="592"/>
      <c r="Y337" s="194"/>
    </row>
    <row r="338" spans="1:25" ht="39.950000000000003" customHeight="1" x14ac:dyDescent="0.2">
      <c r="A338" s="440" t="s">
        <v>3918</v>
      </c>
      <c r="B338" s="441" t="str">
        <f ca="1">SUBSTITUTE(CONFIG_SCORE_SUBHEADER_TEMPLATE,"[SCORE]",ROUND(B336,2))</f>
        <v>Estimated Score: 0</v>
      </c>
      <c r="C338" s="281"/>
      <c r="D338" s="281"/>
      <c r="E338" s="281"/>
      <c r="F338" s="281"/>
      <c r="G338" s="281"/>
      <c r="H338" s="215"/>
      <c r="I338" s="592"/>
      <c r="J338" s="592"/>
      <c r="K338" s="593"/>
      <c r="L338" s="593"/>
      <c r="M338" s="592"/>
      <c r="N338" s="592"/>
      <c r="O338" s="593"/>
      <c r="P338" s="593"/>
      <c r="Q338" s="593"/>
      <c r="R338" s="593"/>
      <c r="S338" s="592"/>
      <c r="T338" s="592"/>
      <c r="U338" s="592"/>
      <c r="V338" s="592"/>
      <c r="W338" s="592"/>
      <c r="X338" s="153"/>
      <c r="Y338" s="194"/>
    </row>
    <row r="339" spans="1:25" ht="39.950000000000003" customHeight="1" x14ac:dyDescent="0.2">
      <c r="A339" s="285" t="s">
        <v>341</v>
      </c>
      <c r="B339" s="305" t="str">
        <f>C339&amp;" "&amp;B364</f>
        <v>Sponsorship by a Not-For-Profit Organization or Government Entity (Maximum Points: 7)</v>
      </c>
      <c r="C339" s="287" t="s">
        <v>3826</v>
      </c>
      <c r="D339" s="287"/>
      <c r="E339" s="287"/>
      <c r="F339" s="287"/>
      <c r="G339" s="172" t="str">
        <f>B359</f>
        <v>Nonprofit Sponsorship</v>
      </c>
      <c r="H339" s="215"/>
      <c r="I339" s="592"/>
      <c r="J339" s="592"/>
      <c r="K339" s="593"/>
      <c r="L339" s="593"/>
      <c r="M339" s="592"/>
      <c r="N339" s="592"/>
      <c r="O339" s="593"/>
      <c r="P339" s="593"/>
      <c r="Q339" s="593"/>
      <c r="R339" s="593"/>
      <c r="S339" s="592"/>
      <c r="T339" s="592"/>
      <c r="U339" s="592"/>
      <c r="V339" s="592"/>
      <c r="W339" s="592"/>
      <c r="X339" s="153"/>
      <c r="Y339" s="194"/>
    </row>
    <row r="340" spans="1:25" ht="39.950000000000003" customHeight="1" x14ac:dyDescent="0.2">
      <c r="A340" s="273" t="s">
        <v>2962</v>
      </c>
      <c r="B340" s="288" t="str">
        <f>IF(Q453&lt;&gt;"",Q453,"")</f>
        <v/>
      </c>
      <c r="C340" s="281">
        <f ca="1">VLOOKUP(A340,DB_TBL_DATA_FIELDS[[FIELD_ID]:[PCT_CALC_FIELD_STATUS_CODE]],22,FALSE)</f>
        <v>1</v>
      </c>
      <c r="D340" s="281" t="str">
        <f>IF(VLOOKUP(A340,DB_TBL_DATA_FIELDS[[FIELD_ID]:[ERROR_MESSAGE]],23,FALSE)&lt;&gt;0,VLOOKUP(A340,DB_TBL_DATA_FIELDS[[FIELD_ID]:[ERROR_MESSAGE]],23,FALSE),"")</f>
        <v/>
      </c>
      <c r="E340" s="281">
        <f>VLOOKUP(A340,DB_TBL_DATA_FIELDS[[#All],[FIELD_ID]:[RANGE_VALIDATION_MAX]],18,FALSE)</f>
        <v>0</v>
      </c>
      <c r="F340" s="281">
        <f>VLOOKUP(A340,DB_TBL_DATA_FIELDS[[#All],[FIELD_ID]:[RANGE_VALIDATION_MAX]],19,FALSE)</f>
        <v>100</v>
      </c>
      <c r="G340" s="281">
        <f ca="1">IF(C340&lt;0,"",C340)</f>
        <v>1</v>
      </c>
      <c r="H340" s="215"/>
      <c r="I340" s="592"/>
      <c r="J340" s="592"/>
      <c r="K340" s="593"/>
      <c r="L340" s="593"/>
      <c r="M340" s="592"/>
      <c r="N340" s="592"/>
      <c r="O340" s="593"/>
      <c r="P340" s="593"/>
      <c r="Q340" s="593"/>
      <c r="R340" s="593"/>
      <c r="S340" s="592"/>
      <c r="T340" s="592"/>
      <c r="U340" s="592"/>
      <c r="V340" s="592"/>
      <c r="W340" s="592"/>
      <c r="X340" s="153"/>
      <c r="Y340" s="194"/>
    </row>
    <row r="341" spans="1:25" ht="39.950000000000003" customHeight="1" x14ac:dyDescent="0.2">
      <c r="A341" s="297" t="s">
        <v>2963</v>
      </c>
      <c r="B341" s="298" t="str">
        <f>""</f>
        <v/>
      </c>
      <c r="C341" s="299"/>
      <c r="D341" s="299"/>
      <c r="E341" s="299"/>
      <c r="F341" s="299"/>
      <c r="G341" s="299"/>
      <c r="H341" s="215"/>
      <c r="I341" s="592"/>
      <c r="J341" s="592"/>
      <c r="K341" s="593"/>
      <c r="L341" s="593"/>
      <c r="M341" s="592"/>
      <c r="N341" s="592"/>
      <c r="O341" s="593"/>
      <c r="P341" s="593"/>
      <c r="Q341" s="593"/>
      <c r="R341" s="593"/>
      <c r="S341" s="592"/>
      <c r="T341" s="592"/>
      <c r="U341" s="592"/>
      <c r="V341" s="592"/>
      <c r="W341" s="592"/>
      <c r="X341" s="153"/>
      <c r="Y341" s="194"/>
    </row>
    <row r="342" spans="1:25" ht="39.950000000000003" customHeight="1" x14ac:dyDescent="0.2">
      <c r="A342" s="273" t="s">
        <v>2964</v>
      </c>
      <c r="B342" s="288" t="str">
        <f>IF(W456="","",IF(UPPER(W456)="YES",TRUE,FALSE))</f>
        <v/>
      </c>
      <c r="C342" s="281">
        <f ca="1">VLOOKUP(A342,DB_TBL_DATA_FIELDS[[FIELD_ID]:[PCT_CALC_FIELD_STATUS_CODE]],22,FALSE)</f>
        <v>1</v>
      </c>
      <c r="D342" s="281" t="str">
        <f>IF(VLOOKUP(A342,DB_TBL_DATA_FIELDS[[FIELD_ID]:[ERROR_MESSAGE]],23,FALSE)&lt;&gt;0,VLOOKUP(A342,DB_TBL_DATA_FIELDS[[FIELD_ID]:[ERROR_MESSAGE]],23,FALSE),"")</f>
        <v/>
      </c>
      <c r="E342" s="281">
        <f>VLOOKUP(A342,DB_TBL_DATA_FIELDS[[#All],[FIELD_ID]:[RANGE_VALIDATION_MAX]],18,FALSE)</f>
        <v>0</v>
      </c>
      <c r="F342" s="281">
        <f>VLOOKUP(A342,DB_TBL_DATA_FIELDS[[#All],[FIELD_ID]:[RANGE_VALIDATION_MAX]],19,FALSE)</f>
        <v>1</v>
      </c>
      <c r="G342" s="281">
        <f t="shared" ref="G342:G351" ca="1" si="37">IF(C342&lt;0,"",C342)</f>
        <v>1</v>
      </c>
      <c r="H342" s="215"/>
      <c r="I342" s="592"/>
      <c r="J342" s="592"/>
      <c r="K342" s="593"/>
      <c r="L342" s="593"/>
      <c r="M342" s="592"/>
      <c r="N342" s="592"/>
      <c r="O342" s="593"/>
      <c r="P342" s="593"/>
      <c r="Q342" s="593"/>
      <c r="R342" s="593"/>
      <c r="S342" s="592"/>
      <c r="T342" s="592"/>
      <c r="U342" s="592"/>
      <c r="V342" s="592"/>
      <c r="W342" s="592"/>
      <c r="X342" s="153"/>
      <c r="Y342" s="194"/>
    </row>
    <row r="343" spans="1:25" ht="39.950000000000003" customHeight="1" x14ac:dyDescent="0.2">
      <c r="A343" s="273" t="s">
        <v>2978</v>
      </c>
      <c r="B343" s="288" t="str">
        <f>IF(W466="","",IF(UPPER(W466)="YES",TRUE,FALSE))</f>
        <v/>
      </c>
      <c r="C343" s="281" t="str">
        <f ca="1">VLOOKUP(A343,DB_TBL_DATA_FIELDS[[FIELD_ID]:[PCT_CALC_FIELD_STATUS_CODE]],22,FALSE)</f>
        <v/>
      </c>
      <c r="D343" s="281" t="str">
        <f>IF(VLOOKUP(A343,DB_TBL_DATA_FIELDS[[FIELD_ID]:[ERROR_MESSAGE]],23,FALSE)&lt;&gt;0,VLOOKUP(A343,DB_TBL_DATA_FIELDS[[FIELD_ID]:[ERROR_MESSAGE]],23,FALSE),"")</f>
        <v/>
      </c>
      <c r="E343" s="281">
        <f>VLOOKUP(A343,DB_TBL_DATA_FIELDS[[#All],[FIELD_ID]:[RANGE_VALIDATION_MAX]],18,FALSE)</f>
        <v>0</v>
      </c>
      <c r="F343" s="281">
        <f>VLOOKUP(A343,DB_TBL_DATA_FIELDS[[#All],[FIELD_ID]:[RANGE_VALIDATION_MAX]],19,FALSE)</f>
        <v>1</v>
      </c>
      <c r="G343" s="281" t="str">
        <f t="shared" ca="1" si="37"/>
        <v/>
      </c>
      <c r="H343" s="215"/>
      <c r="I343" s="592"/>
      <c r="J343" s="592"/>
      <c r="K343" s="593"/>
      <c r="L343" s="593"/>
      <c r="M343" s="592"/>
      <c r="N343" s="592"/>
      <c r="O343" s="593"/>
      <c r="P343" s="593"/>
      <c r="Q343" s="593"/>
      <c r="R343" s="593"/>
      <c r="S343" s="592"/>
      <c r="T343" s="592"/>
      <c r="U343" s="592"/>
      <c r="V343" s="592"/>
      <c r="W343" s="592"/>
      <c r="X343" s="153"/>
      <c r="Y343" s="194"/>
    </row>
    <row r="344" spans="1:25" ht="39.950000000000003" customHeight="1" x14ac:dyDescent="0.2">
      <c r="A344" s="273" t="s">
        <v>2979</v>
      </c>
      <c r="B344" s="288" t="str">
        <f>IF(W467="","",IF(UPPER(W467)="YES",TRUE,FALSE))</f>
        <v/>
      </c>
      <c r="C344" s="281" t="str">
        <f ca="1">VLOOKUP(A344,DB_TBL_DATA_FIELDS[[FIELD_ID]:[PCT_CALC_FIELD_STATUS_CODE]],22,FALSE)</f>
        <v/>
      </c>
      <c r="D344" s="281" t="str">
        <f>IF(VLOOKUP(A344,DB_TBL_DATA_FIELDS[[FIELD_ID]:[ERROR_MESSAGE]],23,FALSE)&lt;&gt;0,VLOOKUP(A344,DB_TBL_DATA_FIELDS[[FIELD_ID]:[ERROR_MESSAGE]],23,FALSE),"")</f>
        <v/>
      </c>
      <c r="E344" s="281">
        <f>VLOOKUP(A344,DB_TBL_DATA_FIELDS[[#All],[FIELD_ID]:[RANGE_VALIDATION_MAX]],18,FALSE)</f>
        <v>0</v>
      </c>
      <c r="F344" s="281">
        <f>VLOOKUP(A344,DB_TBL_DATA_FIELDS[[#All],[FIELD_ID]:[RANGE_VALIDATION_MAX]],19,FALSE)</f>
        <v>1</v>
      </c>
      <c r="G344" s="281" t="str">
        <f t="shared" ca="1" si="37"/>
        <v/>
      </c>
      <c r="H344" s="215"/>
      <c r="I344" s="592"/>
      <c r="J344" s="592"/>
      <c r="K344" s="593"/>
      <c r="L344" s="593"/>
      <c r="M344" s="592"/>
      <c r="N344" s="592"/>
      <c r="O344" s="593"/>
      <c r="P344" s="593"/>
      <c r="Q344" s="593"/>
      <c r="R344" s="593"/>
      <c r="S344" s="592"/>
      <c r="T344" s="592"/>
      <c r="U344" s="592"/>
      <c r="V344" s="592"/>
      <c r="W344" s="592"/>
      <c r="X344" s="153"/>
      <c r="Y344" s="194"/>
    </row>
    <row r="345" spans="1:25" ht="39.950000000000003" customHeight="1" x14ac:dyDescent="0.2">
      <c r="A345" s="273" t="s">
        <v>2980</v>
      </c>
      <c r="B345" s="288" t="str">
        <f>IF(W469="","",IF(UPPER(W469)="YES",TRUE,FALSE))</f>
        <v/>
      </c>
      <c r="C345" s="281" t="str">
        <f ca="1">VLOOKUP(A345,DB_TBL_DATA_FIELDS[[FIELD_ID]:[PCT_CALC_FIELD_STATUS_CODE]],22,FALSE)</f>
        <v/>
      </c>
      <c r="D345" s="281" t="str">
        <f>IF(VLOOKUP(A345,DB_TBL_DATA_FIELDS[[FIELD_ID]:[ERROR_MESSAGE]],23,FALSE)&lt;&gt;0,VLOOKUP(A345,DB_TBL_DATA_FIELDS[[FIELD_ID]:[ERROR_MESSAGE]],23,FALSE),"")</f>
        <v/>
      </c>
      <c r="E345" s="281">
        <f>VLOOKUP(A345,DB_TBL_DATA_FIELDS[[#All],[FIELD_ID]:[RANGE_VALIDATION_MAX]],18,FALSE)</f>
        <v>0</v>
      </c>
      <c r="F345" s="281">
        <f>VLOOKUP(A345,DB_TBL_DATA_FIELDS[[#All],[FIELD_ID]:[RANGE_VALIDATION_MAX]],19,FALSE)</f>
        <v>1</v>
      </c>
      <c r="G345" s="281" t="str">
        <f t="shared" ca="1" si="37"/>
        <v/>
      </c>
      <c r="H345" s="215"/>
      <c r="I345" s="592"/>
      <c r="J345" s="592"/>
      <c r="K345" s="593"/>
      <c r="L345" s="593"/>
      <c r="M345" s="592"/>
      <c r="N345" s="592"/>
      <c r="O345" s="593"/>
      <c r="P345" s="593"/>
      <c r="Q345" s="593"/>
      <c r="R345" s="593"/>
      <c r="S345" s="592"/>
      <c r="T345" s="592"/>
      <c r="U345" s="592"/>
      <c r="V345" s="592"/>
      <c r="W345" s="592"/>
      <c r="X345" s="153"/>
      <c r="Y345" s="194"/>
    </row>
    <row r="346" spans="1:25" ht="20.100000000000001" customHeight="1" x14ac:dyDescent="0.2">
      <c r="A346" s="273" t="s">
        <v>2983</v>
      </c>
      <c r="B346" s="288" t="str">
        <f>IF(W468="","",IF(UPPER(W468)="YES",TRUE,FALSE))</f>
        <v/>
      </c>
      <c r="C346" s="281" t="str">
        <f ca="1">VLOOKUP(A346,DB_TBL_DATA_FIELDS[[FIELD_ID]:[PCT_CALC_FIELD_STATUS_CODE]],22,FALSE)</f>
        <v/>
      </c>
      <c r="D346" s="281" t="str">
        <f>IF(VLOOKUP(A346,DB_TBL_DATA_FIELDS[[FIELD_ID]:[ERROR_MESSAGE]],23,FALSE)&lt;&gt;0,VLOOKUP(A346,DB_TBL_DATA_FIELDS[[FIELD_ID]:[ERROR_MESSAGE]],23,FALSE),"")</f>
        <v/>
      </c>
      <c r="E346" s="281">
        <f>VLOOKUP(A346,DB_TBL_DATA_FIELDS[[#All],[FIELD_ID]:[RANGE_VALIDATION_MAX]],18,FALSE)</f>
        <v>0</v>
      </c>
      <c r="F346" s="281">
        <f>VLOOKUP(A346,DB_TBL_DATA_FIELDS[[#All],[FIELD_ID]:[RANGE_VALIDATION_MAX]],19,FALSE)</f>
        <v>1</v>
      </c>
      <c r="G346" s="281" t="str">
        <f t="shared" ca="1" si="37"/>
        <v/>
      </c>
      <c r="H346" s="215"/>
      <c r="I346" s="231" t="s">
        <v>3561</v>
      </c>
      <c r="J346" s="204"/>
      <c r="K346" s="204"/>
      <c r="L346" s="204"/>
      <c r="M346" s="204"/>
      <c r="N346" s="204"/>
      <c r="O346" s="204"/>
      <c r="P346" s="204"/>
      <c r="Q346" s="204"/>
      <c r="R346" s="204"/>
      <c r="S346" s="204"/>
      <c r="T346" s="204"/>
      <c r="U346" s="204"/>
      <c r="V346" s="204"/>
      <c r="W346" s="204"/>
      <c r="X346" s="153"/>
      <c r="Y346" s="194"/>
    </row>
    <row r="347" spans="1:25" ht="39.950000000000003" customHeight="1" x14ac:dyDescent="0.2">
      <c r="A347" s="273" t="s">
        <v>2984</v>
      </c>
      <c r="B347" s="288" t="str">
        <f>IF(W470="","",IF(UPPER(W470)="YES",TRUE,FALSE))</f>
        <v/>
      </c>
      <c r="C347" s="281" t="str">
        <f ca="1">VLOOKUP(A347,DB_TBL_DATA_FIELDS[[FIELD_ID]:[PCT_CALC_FIELD_STATUS_CODE]],22,FALSE)</f>
        <v/>
      </c>
      <c r="D347" s="281" t="str">
        <f>IF(VLOOKUP(A347,DB_TBL_DATA_FIELDS[[FIELD_ID]:[ERROR_MESSAGE]],23,FALSE)&lt;&gt;0,VLOOKUP(A347,DB_TBL_DATA_FIELDS[[FIELD_ID]:[ERROR_MESSAGE]],23,FALSE),"")</f>
        <v/>
      </c>
      <c r="E347" s="281">
        <f>VLOOKUP(A347,DB_TBL_DATA_FIELDS[[#All],[FIELD_ID]:[RANGE_VALIDATION_MAX]],18,FALSE)</f>
        <v>0</v>
      </c>
      <c r="F347" s="281">
        <f>VLOOKUP(A347,DB_TBL_DATA_FIELDS[[#All],[FIELD_ID]:[RANGE_VALIDATION_MAX]],19,FALSE)</f>
        <v>1</v>
      </c>
      <c r="G347" s="281" t="str">
        <f t="shared" ca="1" si="37"/>
        <v/>
      </c>
      <c r="H347" s="215"/>
      <c r="I347" s="457" t="s">
        <v>61</v>
      </c>
      <c r="J347" s="458"/>
      <c r="K347" s="457" t="s">
        <v>3554</v>
      </c>
      <c r="L347" s="458"/>
      <c r="M347" s="457" t="s">
        <v>220</v>
      </c>
      <c r="N347" s="458"/>
      <c r="O347" s="457" t="s">
        <v>274</v>
      </c>
      <c r="P347" s="458"/>
      <c r="Q347" s="457" t="s">
        <v>3555</v>
      </c>
      <c r="R347" s="458"/>
      <c r="S347" s="457" t="s">
        <v>3556</v>
      </c>
      <c r="T347" s="458"/>
      <c r="U347" s="589" t="s">
        <v>3557</v>
      </c>
      <c r="V347" s="590"/>
      <c r="W347" s="591"/>
      <c r="X347" s="165" t="str">
        <f ca="1">G238</f>
        <v/>
      </c>
      <c r="Y347" s="194"/>
    </row>
    <row r="348" spans="1:25" ht="39.950000000000003" customHeight="1" x14ac:dyDescent="0.2">
      <c r="A348" s="273" t="s">
        <v>2985</v>
      </c>
      <c r="B348" s="288" t="str">
        <f>IF(W471="","",IF(UPPER(W471)="YES",TRUE,FALSE))</f>
        <v/>
      </c>
      <c r="C348" s="281" t="str">
        <f ca="1">VLOOKUP(A348,DB_TBL_DATA_FIELDS[[FIELD_ID]:[PCT_CALC_FIELD_STATUS_CODE]],22,FALSE)</f>
        <v/>
      </c>
      <c r="D348" s="281" t="str">
        <f>IF(VLOOKUP(A348,DB_TBL_DATA_FIELDS[[FIELD_ID]:[ERROR_MESSAGE]],23,FALSE)&lt;&gt;0,VLOOKUP(A348,DB_TBL_DATA_FIELDS[[FIELD_ID]:[ERROR_MESSAGE]],23,FALSE),"")</f>
        <v/>
      </c>
      <c r="E348" s="281">
        <f>VLOOKUP(A348,DB_TBL_DATA_FIELDS[[#All],[FIELD_ID]:[RANGE_VALIDATION_MAX]],18,FALSE)</f>
        <v>0</v>
      </c>
      <c r="F348" s="281">
        <f>VLOOKUP(A348,DB_TBL_DATA_FIELDS[[#All],[FIELD_ID]:[RANGE_VALIDATION_MAX]],19,FALSE)</f>
        <v>1</v>
      </c>
      <c r="G348" s="281" t="str">
        <f t="shared" ref="G348:G350" ca="1" si="38">IF(C348&lt;0,"",C348)</f>
        <v/>
      </c>
      <c r="H348" s="215"/>
      <c r="I348" s="592"/>
      <c r="J348" s="592"/>
      <c r="K348" s="593"/>
      <c r="L348" s="593"/>
      <c r="M348" s="592"/>
      <c r="N348" s="592"/>
      <c r="O348" s="593"/>
      <c r="P348" s="593"/>
      <c r="Q348" s="593"/>
      <c r="R348" s="593"/>
      <c r="S348" s="592"/>
      <c r="T348" s="592"/>
      <c r="U348" s="592"/>
      <c r="V348" s="592"/>
      <c r="W348" s="592"/>
      <c r="X348" s="165"/>
      <c r="Y348" s="194"/>
    </row>
    <row r="349" spans="1:25" ht="39.950000000000003" customHeight="1" x14ac:dyDescent="0.2">
      <c r="A349" s="273" t="s">
        <v>2986</v>
      </c>
      <c r="B349" s="288" t="str">
        <f>IF(W472="","",IF(UPPER(W472)="YES",TRUE,FALSE))</f>
        <v/>
      </c>
      <c r="C349" s="281" t="str">
        <f ca="1">VLOOKUP(A349,DB_TBL_DATA_FIELDS[[FIELD_ID]:[PCT_CALC_FIELD_STATUS_CODE]],22,FALSE)</f>
        <v/>
      </c>
      <c r="D349" s="281" t="str">
        <f>IF(VLOOKUP(A349,DB_TBL_DATA_FIELDS[[FIELD_ID]:[ERROR_MESSAGE]],23,FALSE)&lt;&gt;0,VLOOKUP(A349,DB_TBL_DATA_FIELDS[[FIELD_ID]:[ERROR_MESSAGE]],23,FALSE),"")</f>
        <v/>
      </c>
      <c r="E349" s="281">
        <f>VLOOKUP(A349,DB_TBL_DATA_FIELDS[[#All],[FIELD_ID]:[RANGE_VALIDATION_MAX]],18,FALSE)</f>
        <v>0</v>
      </c>
      <c r="F349" s="281">
        <f>VLOOKUP(A349,DB_TBL_DATA_FIELDS[[#All],[FIELD_ID]:[RANGE_VALIDATION_MAX]],19,FALSE)</f>
        <v>1</v>
      </c>
      <c r="G349" s="281" t="str">
        <f t="shared" ca="1" si="38"/>
        <v/>
      </c>
      <c r="H349" s="215"/>
      <c r="I349" s="592"/>
      <c r="J349" s="592"/>
      <c r="K349" s="593"/>
      <c r="L349" s="593"/>
      <c r="M349" s="592"/>
      <c r="N349" s="592"/>
      <c r="O349" s="593"/>
      <c r="P349" s="593"/>
      <c r="Q349" s="593"/>
      <c r="R349" s="593"/>
      <c r="S349" s="592"/>
      <c r="T349" s="592"/>
      <c r="U349" s="592"/>
      <c r="V349" s="592"/>
      <c r="W349" s="592"/>
      <c r="X349" s="165"/>
      <c r="Y349" s="194"/>
    </row>
    <row r="350" spans="1:25" ht="39.950000000000003" customHeight="1" x14ac:dyDescent="0.2">
      <c r="A350" s="273" t="s">
        <v>2987</v>
      </c>
      <c r="B350" s="288" t="str">
        <f>IF(W473="","",IF(UPPER(W473)="YES",TRUE,FALSE))</f>
        <v/>
      </c>
      <c r="C350" s="281" t="str">
        <f ca="1">VLOOKUP(A350,DB_TBL_DATA_FIELDS[[FIELD_ID]:[PCT_CALC_FIELD_STATUS_CODE]],22,FALSE)</f>
        <v/>
      </c>
      <c r="D350" s="281" t="str">
        <f>IF(VLOOKUP(A350,DB_TBL_DATA_FIELDS[[FIELD_ID]:[ERROR_MESSAGE]],23,FALSE)&lt;&gt;0,VLOOKUP(A350,DB_TBL_DATA_FIELDS[[FIELD_ID]:[ERROR_MESSAGE]],23,FALSE),"")</f>
        <v/>
      </c>
      <c r="E350" s="281">
        <f>VLOOKUP(A350,DB_TBL_DATA_FIELDS[[#All],[FIELD_ID]:[RANGE_VALIDATION_MAX]],18,FALSE)</f>
        <v>0</v>
      </c>
      <c r="F350" s="281">
        <f>VLOOKUP(A350,DB_TBL_DATA_FIELDS[[#All],[FIELD_ID]:[RANGE_VALIDATION_MAX]],19,FALSE)</f>
        <v>1</v>
      </c>
      <c r="G350" s="281" t="str">
        <f t="shared" ca="1" si="38"/>
        <v/>
      </c>
      <c r="H350" s="215"/>
      <c r="I350" s="592"/>
      <c r="J350" s="592"/>
      <c r="K350" s="593"/>
      <c r="L350" s="593"/>
      <c r="M350" s="592"/>
      <c r="N350" s="592"/>
      <c r="O350" s="593"/>
      <c r="P350" s="593"/>
      <c r="Q350" s="593"/>
      <c r="R350" s="593"/>
      <c r="S350" s="592"/>
      <c r="T350" s="592"/>
      <c r="U350" s="592"/>
      <c r="V350" s="592"/>
      <c r="W350" s="592"/>
      <c r="X350" s="165"/>
      <c r="Y350" s="194"/>
    </row>
    <row r="351" spans="1:25" ht="39.950000000000003" customHeight="1" x14ac:dyDescent="0.2">
      <c r="A351" s="273" t="s">
        <v>2988</v>
      </c>
      <c r="B351" s="288" t="str">
        <f>IF(O477&lt;&gt;"",O477,"")</f>
        <v/>
      </c>
      <c r="C351" s="281">
        <f ca="1">VLOOKUP(A351,DB_TBL_DATA_FIELDS[[FIELD_ID]:[PCT_CALC_FIELD_STATUS_CODE]],22,FALSE)</f>
        <v>1</v>
      </c>
      <c r="D351" s="281" t="str">
        <f>IF(VLOOKUP(A351,DB_TBL_DATA_FIELDS[[FIELD_ID]:[ERROR_MESSAGE]],23,FALSE)&lt;&gt;0,VLOOKUP(A351,DB_TBL_DATA_FIELDS[[FIELD_ID]:[ERROR_MESSAGE]],23,FALSE),"")</f>
        <v/>
      </c>
      <c r="E351" s="281">
        <f>VLOOKUP(A351,DB_TBL_DATA_FIELDS[[#All],[FIELD_ID]:[RANGE_VALIDATION_MAX]],18,FALSE)</f>
        <v>0</v>
      </c>
      <c r="F351" s="281">
        <f>VLOOKUP(A351,DB_TBL_DATA_FIELDS[[#All],[FIELD_ID]:[RANGE_VALIDATION_MAX]],19,FALSE)</f>
        <v>100</v>
      </c>
      <c r="G351" s="281">
        <f t="shared" ca="1" si="37"/>
        <v>1</v>
      </c>
      <c r="H351" s="215"/>
      <c r="I351" s="592"/>
      <c r="J351" s="592"/>
      <c r="K351" s="593"/>
      <c r="L351" s="593"/>
      <c r="M351" s="592"/>
      <c r="N351" s="592"/>
      <c r="O351" s="593"/>
      <c r="P351" s="593"/>
      <c r="Q351" s="593"/>
      <c r="R351" s="593"/>
      <c r="S351" s="592"/>
      <c r="T351" s="592"/>
      <c r="U351" s="592"/>
      <c r="V351" s="592"/>
      <c r="W351" s="592"/>
      <c r="X351" s="165"/>
      <c r="Y351" s="194"/>
    </row>
    <row r="352" spans="1:25" ht="39.950000000000003" customHeight="1" x14ac:dyDescent="0.2">
      <c r="A352" s="290" t="s">
        <v>342</v>
      </c>
      <c r="B352" s="282" t="str">
        <f>"C"&amp;MATCH(LEFT(A352,LEN(A352)-LEN("_RANGE")),A:A,0)+1&amp;":C"&amp;(ROW()-1)</f>
        <v>C340:C351</v>
      </c>
      <c r="C352" s="281"/>
      <c r="D352" s="281"/>
      <c r="E352" s="281"/>
      <c r="F352" s="281"/>
      <c r="G352" s="281"/>
      <c r="H352" s="215"/>
      <c r="I352" s="592"/>
      <c r="J352" s="592"/>
      <c r="K352" s="593"/>
      <c r="L352" s="593"/>
      <c r="M352" s="592"/>
      <c r="N352" s="592"/>
      <c r="O352" s="593"/>
      <c r="P352" s="593"/>
      <c r="Q352" s="593"/>
      <c r="R352" s="593"/>
      <c r="S352" s="592"/>
      <c r="T352" s="592"/>
      <c r="U352" s="592"/>
      <c r="V352" s="592"/>
      <c r="W352" s="592"/>
      <c r="Y352" s="194"/>
    </row>
    <row r="353" spans="1:25" ht="39.950000000000003" customHeight="1" x14ac:dyDescent="0.2">
      <c r="A353" s="290" t="s">
        <v>343</v>
      </c>
      <c r="B353" s="282">
        <f ca="1">COUNTIF(INDIRECT($B352),2)</f>
        <v>0</v>
      </c>
      <c r="C353" s="281"/>
      <c r="D353" s="281"/>
      <c r="E353" s="281"/>
      <c r="F353" s="281"/>
      <c r="G353" s="281"/>
      <c r="H353" s="215"/>
      <c r="I353" s="592"/>
      <c r="J353" s="592"/>
      <c r="K353" s="593"/>
      <c r="L353" s="593"/>
      <c r="M353" s="592"/>
      <c r="N353" s="592"/>
      <c r="O353" s="593"/>
      <c r="P353" s="593"/>
      <c r="Q353" s="593"/>
      <c r="R353" s="593"/>
      <c r="S353" s="592"/>
      <c r="T353" s="592"/>
      <c r="U353" s="592"/>
      <c r="V353" s="592"/>
      <c r="W353" s="592"/>
      <c r="X353" s="153"/>
      <c r="Y353" s="194"/>
    </row>
    <row r="354" spans="1:25" ht="39.950000000000003" customHeight="1" x14ac:dyDescent="0.2">
      <c r="A354" s="290" t="s">
        <v>344</v>
      </c>
      <c r="B354" s="282">
        <f ca="1">COUNTIF(INDIRECT($B352),0)+COUNTIF(INDIRECT($B352),1)+COUNTIF(INDIRECT($B352),2)</f>
        <v>3</v>
      </c>
      <c r="C354" s="281"/>
      <c r="D354" s="281"/>
      <c r="E354" s="281"/>
      <c r="F354" s="281"/>
      <c r="G354" s="281"/>
      <c r="H354" s="215"/>
      <c r="I354" s="592"/>
      <c r="J354" s="592"/>
      <c r="K354" s="593"/>
      <c r="L354" s="593"/>
      <c r="M354" s="592"/>
      <c r="N354" s="592"/>
      <c r="O354" s="593"/>
      <c r="P354" s="593"/>
      <c r="Q354" s="593"/>
      <c r="R354" s="593"/>
      <c r="S354" s="592"/>
      <c r="T354" s="592"/>
      <c r="U354" s="592"/>
      <c r="V354" s="592"/>
      <c r="W354" s="592"/>
      <c r="X354" s="153"/>
      <c r="Y354" s="194"/>
    </row>
    <row r="355" spans="1:25" ht="39.950000000000003" customHeight="1" x14ac:dyDescent="0.2">
      <c r="A355" s="290" t="s">
        <v>345</v>
      </c>
      <c r="B355" s="282">
        <f ca="1">COUNTIF(INDIRECT($B352),0)</f>
        <v>0</v>
      </c>
      <c r="C355" s="281" t="s">
        <v>2607</v>
      </c>
      <c r="D355" s="281"/>
      <c r="E355" s="281"/>
      <c r="F355" s="281"/>
      <c r="G355" s="281"/>
      <c r="H355" s="215"/>
      <c r="I355" s="592"/>
      <c r="J355" s="592"/>
      <c r="K355" s="593"/>
      <c r="L355" s="593"/>
      <c r="M355" s="592"/>
      <c r="N355" s="592"/>
      <c r="O355" s="593"/>
      <c r="P355" s="593"/>
      <c r="Q355" s="593"/>
      <c r="R355" s="593"/>
      <c r="S355" s="592"/>
      <c r="T355" s="592"/>
      <c r="U355" s="592"/>
      <c r="V355" s="592"/>
      <c r="W355" s="592"/>
      <c r="X355" s="153"/>
      <c r="Y355" s="194"/>
    </row>
    <row r="356" spans="1:25" ht="39.950000000000003" customHeight="1" x14ac:dyDescent="0.2">
      <c r="A356" s="290" t="s">
        <v>346</v>
      </c>
      <c r="B356" s="291">
        <f ca="1">IFERROR(B353/B354,1.01)</f>
        <v>0</v>
      </c>
      <c r="C356" s="281"/>
      <c r="D356" s="281"/>
      <c r="E356" s="281"/>
      <c r="F356" s="281"/>
      <c r="G356" s="281"/>
      <c r="H356" s="215"/>
      <c r="I356" s="592"/>
      <c r="J356" s="592"/>
      <c r="K356" s="593"/>
      <c r="L356" s="593"/>
      <c r="M356" s="592"/>
      <c r="N356" s="592"/>
      <c r="O356" s="593"/>
      <c r="P356" s="593"/>
      <c r="Q356" s="593"/>
      <c r="R356" s="593"/>
      <c r="S356" s="592"/>
      <c r="T356" s="592"/>
      <c r="U356" s="592"/>
      <c r="V356" s="592"/>
      <c r="W356" s="592"/>
      <c r="X356" s="153"/>
      <c r="Y356" s="194"/>
    </row>
    <row r="357" spans="1:25" ht="39.950000000000003" customHeight="1" x14ac:dyDescent="0.2">
      <c r="A357" s="290" t="s">
        <v>347</v>
      </c>
      <c r="B357" s="292" t="str">
        <f ca="1">IF(B355&gt;0,"Data Error(s)",IF(B356=0,"Not Started",IF(B356&lt;1,ROUNDUP(B356*100,0)&amp;"% Done",IF(B356&gt;1,"Optional","Complete"))))</f>
        <v>Not Started</v>
      </c>
      <c r="C357" s="281"/>
      <c r="D357" s="281"/>
      <c r="E357" s="281"/>
      <c r="F357" s="281"/>
      <c r="G357" s="281"/>
      <c r="H357" s="215"/>
      <c r="I357" s="592"/>
      <c r="J357" s="592"/>
      <c r="K357" s="593"/>
      <c r="L357" s="593"/>
      <c r="M357" s="592"/>
      <c r="N357" s="592"/>
      <c r="O357" s="593"/>
      <c r="P357" s="593"/>
      <c r="Q357" s="593"/>
      <c r="R357" s="593"/>
      <c r="S357" s="592"/>
      <c r="T357" s="592"/>
      <c r="U357" s="592"/>
      <c r="V357" s="592"/>
      <c r="W357" s="592"/>
      <c r="X357" s="153"/>
      <c r="Y357" s="194"/>
    </row>
    <row r="358" spans="1:25" ht="21.95" customHeight="1" x14ac:dyDescent="0.2">
      <c r="A358" s="290" t="s">
        <v>348</v>
      </c>
      <c r="B358" s="282" t="str">
        <f ca="1">IF(B355&gt;0,0,IF(B356&lt;1,"",2))</f>
        <v/>
      </c>
      <c r="C358" s="281"/>
      <c r="D358" s="281"/>
      <c r="E358" s="281"/>
      <c r="F358" s="281"/>
      <c r="G358" s="281"/>
      <c r="H358" s="215"/>
      <c r="I358" s="225" t="s">
        <v>2768</v>
      </c>
      <c r="J358" s="360"/>
      <c r="K358" s="360"/>
      <c r="L358" s="360"/>
      <c r="M358" s="360"/>
      <c r="N358" s="360"/>
      <c r="O358" s="360"/>
      <c r="P358" s="360"/>
      <c r="Q358" s="360"/>
      <c r="R358" s="360"/>
      <c r="S358" s="360"/>
      <c r="T358" s="360"/>
      <c r="U358" s="360"/>
      <c r="V358" s="360"/>
      <c r="W358" s="360"/>
      <c r="X358" s="153"/>
      <c r="Y358" s="194"/>
    </row>
    <row r="359" spans="1:25" ht="21.95" customHeight="1" x14ac:dyDescent="0.2">
      <c r="A359" s="290" t="s">
        <v>349</v>
      </c>
      <c r="B359" s="293" t="s">
        <v>2931</v>
      </c>
      <c r="C359" s="281"/>
      <c r="D359" s="281"/>
      <c r="E359" s="281"/>
      <c r="F359" s="281"/>
      <c r="G359" s="281"/>
      <c r="H359" s="215"/>
      <c r="I359" s="343"/>
      <c r="J359" s="343"/>
      <c r="K359" s="343"/>
      <c r="L359" s="343"/>
      <c r="M359" s="343"/>
      <c r="N359" s="343"/>
      <c r="O359" s="343"/>
      <c r="P359" s="343"/>
      <c r="Q359" s="343"/>
      <c r="R359" s="343"/>
      <c r="S359" s="343"/>
      <c r="T359" s="343"/>
      <c r="U359" s="343"/>
      <c r="V359" s="343"/>
      <c r="W359" s="175" t="str">
        <f>SUBSTITUTE(SUBSTITUTE(SUBSTITUTE(IF(LEN(B239)&gt;F239,CONFIG_CHAR_LIMIT_TEMPLATE_ERR,CONFIG_CHAR_LIMIT_TEMPLATE),"[diff]",ABS(LEN(B239)-F239)),"[limit]",F239),"[used]",LEN(B239))</f>
        <v>1500 character(s) remaining</v>
      </c>
      <c r="X359" s="153"/>
      <c r="Y359" s="194"/>
    </row>
    <row r="360" spans="1:25" ht="21.95" customHeight="1" x14ac:dyDescent="0.2">
      <c r="A360" s="294" t="s">
        <v>2346</v>
      </c>
      <c r="B360" s="300">
        <v>0</v>
      </c>
      <c r="C360" s="281" t="s">
        <v>2462</v>
      </c>
      <c r="D360" s="281"/>
      <c r="E360" s="281"/>
      <c r="F360" s="281"/>
      <c r="G360" s="281"/>
      <c r="H360" s="215"/>
      <c r="I360" s="500"/>
      <c r="J360" s="501"/>
      <c r="K360" s="501"/>
      <c r="L360" s="501"/>
      <c r="M360" s="501"/>
      <c r="N360" s="501"/>
      <c r="O360" s="501"/>
      <c r="P360" s="501"/>
      <c r="Q360" s="501"/>
      <c r="R360" s="501"/>
      <c r="S360" s="501"/>
      <c r="T360" s="501"/>
      <c r="U360" s="501"/>
      <c r="V360" s="501"/>
      <c r="W360" s="502"/>
      <c r="X360" s="165" t="str">
        <f ca="1">G239</f>
        <v/>
      </c>
      <c r="Y360" s="194"/>
    </row>
    <row r="361" spans="1:25" ht="21.95" customHeight="1" x14ac:dyDescent="0.2">
      <c r="A361" s="294" t="s">
        <v>2347</v>
      </c>
      <c r="B361" s="282" t="b">
        <f>(B360&gt;0)</f>
        <v>0</v>
      </c>
      <c r="C361" s="281"/>
      <c r="D361" s="281"/>
      <c r="E361" s="281"/>
      <c r="F361" s="281"/>
      <c r="G361" s="281"/>
      <c r="H361" s="215"/>
      <c r="I361" s="503"/>
      <c r="J361" s="504"/>
      <c r="K361" s="504"/>
      <c r="L361" s="504"/>
      <c r="M361" s="504"/>
      <c r="N361" s="504"/>
      <c r="O361" s="504"/>
      <c r="P361" s="504"/>
      <c r="Q361" s="504"/>
      <c r="R361" s="504"/>
      <c r="S361" s="504"/>
      <c r="T361" s="504"/>
      <c r="U361" s="504"/>
      <c r="V361" s="504"/>
      <c r="W361" s="505"/>
      <c r="X361" s="153"/>
      <c r="Y361" s="194"/>
    </row>
    <row r="362" spans="1:25" ht="21.95" customHeight="1" x14ac:dyDescent="0.2">
      <c r="A362" s="440" t="s">
        <v>3911</v>
      </c>
      <c r="B362" s="282">
        <v>7</v>
      </c>
      <c r="C362" s="281"/>
      <c r="D362" s="281"/>
      <c r="E362" s="281"/>
      <c r="F362" s="281"/>
      <c r="G362" s="281"/>
      <c r="H362" s="215"/>
      <c r="I362" s="503"/>
      <c r="J362" s="504"/>
      <c r="K362" s="504"/>
      <c r="L362" s="504"/>
      <c r="M362" s="504"/>
      <c r="N362" s="504"/>
      <c r="O362" s="504"/>
      <c r="P362" s="504"/>
      <c r="Q362" s="504"/>
      <c r="R362" s="504"/>
      <c r="S362" s="504"/>
      <c r="T362" s="504"/>
      <c r="U362" s="504"/>
      <c r="V362" s="504"/>
      <c r="W362" s="505"/>
      <c r="X362" s="153"/>
      <c r="Y362" s="194"/>
    </row>
    <row r="363" spans="1:25" ht="21.95" customHeight="1" x14ac:dyDescent="0.2">
      <c r="A363" s="440" t="s">
        <v>3912</v>
      </c>
      <c r="B363" s="282">
        <f ca="1">DATA_SCORE_NONPROFSPONS_FINAL</f>
        <v>0</v>
      </c>
      <c r="C363" s="281"/>
      <c r="D363" s="281"/>
      <c r="E363" s="281"/>
      <c r="F363" s="281"/>
      <c r="G363" s="281"/>
      <c r="H363" s="215"/>
      <c r="I363" s="503"/>
      <c r="J363" s="504"/>
      <c r="K363" s="504"/>
      <c r="L363" s="504"/>
      <c r="M363" s="504"/>
      <c r="N363" s="504"/>
      <c r="O363" s="504"/>
      <c r="P363" s="504"/>
      <c r="Q363" s="504"/>
      <c r="R363" s="504"/>
      <c r="S363" s="504"/>
      <c r="T363" s="504"/>
      <c r="U363" s="504"/>
      <c r="V363" s="504"/>
      <c r="W363" s="505"/>
      <c r="X363" s="153"/>
      <c r="Y363" s="194"/>
    </row>
    <row r="364" spans="1:25" ht="21.95" customHeight="1" x14ac:dyDescent="0.2">
      <c r="A364" s="440" t="s">
        <v>3913</v>
      </c>
      <c r="B364" s="282" t="str">
        <f>SUBSTITUTE(CONFIG_POINT_HEADER_TEMPLATE,"[MAX]",B362)</f>
        <v>(Maximum Points: 7)</v>
      </c>
      <c r="C364" s="281"/>
      <c r="D364" s="281"/>
      <c r="E364" s="281"/>
      <c r="F364" s="281"/>
      <c r="G364" s="281"/>
      <c r="H364" s="215"/>
      <c r="I364" s="503"/>
      <c r="J364" s="504"/>
      <c r="K364" s="504"/>
      <c r="L364" s="504"/>
      <c r="M364" s="504"/>
      <c r="N364" s="504"/>
      <c r="O364" s="504"/>
      <c r="P364" s="504"/>
      <c r="Q364" s="504"/>
      <c r="R364" s="504"/>
      <c r="S364" s="504"/>
      <c r="T364" s="504"/>
      <c r="U364" s="504"/>
      <c r="V364" s="504"/>
      <c r="W364" s="505"/>
      <c r="X364" s="153"/>
      <c r="Y364" s="194"/>
    </row>
    <row r="365" spans="1:25" ht="21.95" customHeight="1" x14ac:dyDescent="0.2">
      <c r="A365" s="440" t="s">
        <v>3914</v>
      </c>
      <c r="B365" s="441" t="str">
        <f ca="1">SUBSTITUTE(CONFIG_SCORE_SUBHEADER_TEMPLATE,"[SCORE]",ROUND(B363,2))</f>
        <v>Estimated Score: 0</v>
      </c>
      <c r="C365" s="281"/>
      <c r="D365" s="281"/>
      <c r="E365" s="281"/>
      <c r="F365" s="281"/>
      <c r="G365" s="281"/>
      <c r="H365" s="215"/>
      <c r="I365" s="506"/>
      <c r="J365" s="507"/>
      <c r="K365" s="507"/>
      <c r="L365" s="507"/>
      <c r="M365" s="507"/>
      <c r="N365" s="507"/>
      <c r="O365" s="507"/>
      <c r="P365" s="507"/>
      <c r="Q365" s="507"/>
      <c r="R365" s="507"/>
      <c r="S365" s="507"/>
      <c r="T365" s="507"/>
      <c r="U365" s="507"/>
      <c r="V365" s="507"/>
      <c r="W365" s="508"/>
      <c r="X365" s="153"/>
      <c r="Y365" s="194"/>
    </row>
    <row r="366" spans="1:25" ht="21.95" customHeight="1" x14ac:dyDescent="0.2">
      <c r="A366" s="285" t="s">
        <v>360</v>
      </c>
      <c r="B366" s="305" t="str">
        <f>C366&amp;" "&amp;B383</f>
        <v>Housing for Homeless Households (Maximum Points: 6)</v>
      </c>
      <c r="C366" s="287" t="s">
        <v>3825</v>
      </c>
      <c r="D366" s="287"/>
      <c r="E366" s="287"/>
      <c r="F366" s="287"/>
      <c r="G366" s="172" t="str">
        <f>B378</f>
        <v>Homeless Housing</v>
      </c>
      <c r="H366" s="215"/>
      <c r="I366" s="194"/>
      <c r="J366" s="153"/>
      <c r="K366" s="194"/>
      <c r="L366" s="153"/>
      <c r="M366" s="194"/>
      <c r="N366" s="153"/>
      <c r="O366" s="194"/>
      <c r="P366" s="153"/>
      <c r="Q366" s="194"/>
      <c r="R366" s="153"/>
      <c r="S366" s="194"/>
      <c r="T366" s="153"/>
      <c r="U366" s="194"/>
      <c r="V366" s="153"/>
      <c r="W366" s="194"/>
      <c r="X366" s="153"/>
      <c r="Y366" s="194"/>
    </row>
    <row r="367" spans="1:25" ht="21.95" customHeight="1" thickBot="1" x14ac:dyDescent="0.25">
      <c r="A367" s="273" t="s">
        <v>3027</v>
      </c>
      <c r="B367" s="288" t="str">
        <f>IF(W504&lt;&gt;"",W504,"")</f>
        <v/>
      </c>
      <c r="C367" s="281">
        <f ca="1">VLOOKUP(A367,DB_TBL_DATA_FIELDS[[FIELD_ID]:[PCT_CALC_FIELD_STATUS_CODE]],22,FALSE)</f>
        <v>1</v>
      </c>
      <c r="D367" s="281" t="str">
        <f ca="1">IF(VLOOKUP(A367,DB_TBL_DATA_FIELDS[[FIELD_ID]:[ERROR_MESSAGE]],23,FALSE)&lt;&gt;0,VLOOKUP(A367,DB_TBL_DATA_FIELDS[[FIELD_ID]:[ERROR_MESSAGE]],23,FALSE),"")</f>
        <v/>
      </c>
      <c r="E367" s="281">
        <f>VLOOKUP(A367,DB_TBL_DATA_FIELDS[[#All],[FIELD_ID]:[RANGE_VALIDATION_MAX]],18,FALSE)</f>
        <v>0</v>
      </c>
      <c r="F367" s="281">
        <f>VLOOKUP(A367,DB_TBL_DATA_FIELDS[[#All],[FIELD_ID]:[RANGE_VALIDATION_MAX]],19,FALSE)</f>
        <v>999999999999</v>
      </c>
      <c r="G367" s="281">
        <f ca="1">IF(C367&lt;0,"",C367)</f>
        <v>1</v>
      </c>
      <c r="H367" s="215"/>
      <c r="I367" s="424" t="str">
        <f>B257</f>
        <v>Targeting to Lower-Income Households (Maximum Points: 20)</v>
      </c>
      <c r="J367" s="269"/>
      <c r="K367" s="269"/>
      <c r="L367" s="269"/>
      <c r="M367" s="269"/>
      <c r="N367" s="269"/>
      <c r="O367" s="269"/>
      <c r="P367" s="269"/>
      <c r="Q367" s="269"/>
      <c r="R367" s="269"/>
      <c r="S367" s="269"/>
      <c r="T367" s="269"/>
      <c r="U367" s="269"/>
      <c r="V367" s="269"/>
      <c r="W367" s="269"/>
      <c r="X367" s="167" t="str">
        <f ca="1">"Status: "&amp;B289</f>
        <v>Status: Not Started</v>
      </c>
      <c r="Y367" s="194"/>
    </row>
    <row r="368" spans="1:25" ht="21.95" customHeight="1" x14ac:dyDescent="0.2">
      <c r="A368" s="273" t="s">
        <v>3028</v>
      </c>
      <c r="B368" s="288" t="str">
        <f>IF(I508&lt;&gt;"",I508,"")</f>
        <v/>
      </c>
      <c r="C368" s="281">
        <f ca="1">VLOOKUP(A368,DB_TBL_DATA_FIELDS[[FIELD_ID]:[PCT_CALC_FIELD_STATUS_CODE]],22,FALSE)</f>
        <v>-1</v>
      </c>
      <c r="D368" s="281" t="str">
        <f>IF(VLOOKUP(A368,DB_TBL_DATA_FIELDS[[FIELD_ID]:[ERROR_MESSAGE]],23,FALSE)&lt;&gt;0,VLOOKUP(A368,DB_TBL_DATA_FIELDS[[FIELD_ID]:[ERROR_MESSAGE]],23,FALSE),"")</f>
        <v/>
      </c>
      <c r="E368" s="281">
        <f>VLOOKUP(A368,DB_TBL_DATA_FIELDS[[#All],[FIELD_ID]:[RANGE_VALIDATION_MAX]],18,FALSE)</f>
        <v>0</v>
      </c>
      <c r="F368" s="281">
        <f>VLOOKUP(A368,DB_TBL_DATA_FIELDS[[#All],[FIELD_ID]:[RANGE_VALIDATION_MAX]],19,FALSE)</f>
        <v>2000</v>
      </c>
      <c r="G368" s="281" t="str">
        <f t="shared" ref="G368" ca="1" si="39">IF(C368&lt;0,"",C368)</f>
        <v/>
      </c>
      <c r="H368" s="215"/>
      <c r="I368" s="710" t="s">
        <v>3502</v>
      </c>
      <c r="J368" s="710"/>
      <c r="K368" s="710"/>
      <c r="L368" s="710"/>
      <c r="M368" s="710"/>
      <c r="N368" s="710"/>
      <c r="O368" s="710"/>
      <c r="P368" s="710"/>
      <c r="Q368" s="710"/>
      <c r="R368" s="710"/>
      <c r="S368" s="710"/>
      <c r="T368" s="710"/>
      <c r="U368" s="710"/>
      <c r="V368" s="710"/>
      <c r="W368" s="710"/>
      <c r="X368" s="710"/>
      <c r="Y368" s="194"/>
    </row>
    <row r="369" spans="1:25" ht="21.95" customHeight="1" x14ac:dyDescent="0.2">
      <c r="A369" s="290" t="s">
        <v>361</v>
      </c>
      <c r="B369" s="282" t="str">
        <f>"C"&amp;MATCH(LEFT(A369,LEN(A369)-LEN("_RANGE")),A:A,0)+1&amp;":C"&amp;(ROW()-1)</f>
        <v>C367:C368</v>
      </c>
      <c r="C369" s="281"/>
      <c r="D369" s="281"/>
      <c r="E369" s="281"/>
      <c r="F369" s="281"/>
      <c r="G369" s="281"/>
      <c r="H369" s="215"/>
      <c r="I369" s="711"/>
      <c r="J369" s="711"/>
      <c r="K369" s="711"/>
      <c r="L369" s="711"/>
      <c r="M369" s="711"/>
      <c r="N369" s="711"/>
      <c r="O369" s="711"/>
      <c r="P369" s="711"/>
      <c r="Q369" s="711"/>
      <c r="R369" s="711"/>
      <c r="S369" s="711"/>
      <c r="T369" s="711"/>
      <c r="U369" s="711"/>
      <c r="V369" s="711"/>
      <c r="W369" s="711"/>
      <c r="X369" s="711"/>
      <c r="Y369" s="194"/>
    </row>
    <row r="370" spans="1:25" ht="21.95" customHeight="1" x14ac:dyDescent="0.2">
      <c r="A370" s="290" t="s">
        <v>362</v>
      </c>
      <c r="B370" s="282">
        <f ca="1">COUNTIF(INDIRECT($B369),2)</f>
        <v>0</v>
      </c>
      <c r="C370" s="281"/>
      <c r="D370" s="281"/>
      <c r="E370" s="281"/>
      <c r="F370" s="281"/>
      <c r="G370" s="281"/>
      <c r="H370" s="215"/>
      <c r="I370" s="215"/>
      <c r="J370" s="153"/>
      <c r="K370" s="215"/>
      <c r="L370" s="153"/>
      <c r="M370" s="215"/>
      <c r="N370" s="153"/>
      <c r="O370" s="215"/>
      <c r="P370" s="153"/>
      <c r="Q370" s="215"/>
      <c r="R370" s="153"/>
      <c r="S370" s="194"/>
      <c r="T370" s="153"/>
      <c r="U370" s="215"/>
      <c r="V370" s="153"/>
      <c r="W370" s="215"/>
      <c r="X370" s="153"/>
      <c r="Y370" s="194"/>
    </row>
    <row r="371" spans="1:25" ht="21.95" customHeight="1" x14ac:dyDescent="0.2">
      <c r="A371" s="290"/>
      <c r="B371" s="282"/>
      <c r="C371" s="281"/>
      <c r="D371" s="281"/>
      <c r="E371" s="281"/>
      <c r="F371" s="281"/>
      <c r="G371" s="281"/>
      <c r="H371" s="215"/>
      <c r="I371" s="237" t="s">
        <v>2930</v>
      </c>
      <c r="J371" s="153"/>
      <c r="K371" s="194"/>
      <c r="L371" s="153"/>
      <c r="M371" s="215"/>
      <c r="N371" s="153"/>
      <c r="O371" s="238" t="s">
        <v>3503</v>
      </c>
      <c r="P371" s="239"/>
      <c r="Q371" s="240"/>
      <c r="R371" s="239"/>
      <c r="S371" s="240"/>
      <c r="T371" s="239"/>
      <c r="U371" s="240"/>
      <c r="V371" s="239"/>
      <c r="W371" s="240"/>
      <c r="X371" s="153"/>
      <c r="Y371" s="194"/>
    </row>
    <row r="372" spans="1:25" ht="21.95" customHeight="1" x14ac:dyDescent="0.2">
      <c r="A372" s="290"/>
      <c r="B372" s="282"/>
      <c r="C372" s="281"/>
      <c r="D372" s="281"/>
      <c r="E372" s="281"/>
      <c r="F372" s="281"/>
      <c r="G372" s="281"/>
      <c r="H372" s="215"/>
      <c r="I372" s="738" t="str">
        <f ca="1">B258</f>
        <v/>
      </c>
      <c r="J372" s="739"/>
      <c r="K372" s="740"/>
      <c r="L372" s="165">
        <f ca="1">G258</f>
        <v>1</v>
      </c>
      <c r="M372" s="208"/>
      <c r="N372" s="208"/>
      <c r="O372" s="567" t="s">
        <v>2928</v>
      </c>
      <c r="P372" s="568"/>
      <c r="Q372" s="470" t="s">
        <v>326</v>
      </c>
      <c r="R372" s="471"/>
      <c r="S372" s="471"/>
      <c r="T372" s="472"/>
      <c r="U372" s="470" t="s">
        <v>2927</v>
      </c>
      <c r="V372" s="471"/>
      <c r="W372" s="472"/>
      <c r="X372" s="153"/>
      <c r="Y372" s="194"/>
    </row>
    <row r="373" spans="1:25" ht="21.95" customHeight="1" x14ac:dyDescent="0.2">
      <c r="A373" s="290" t="s">
        <v>363</v>
      </c>
      <c r="B373" s="282">
        <f ca="1">COUNTIF(INDIRECT($B369),0)+COUNTIF(INDIRECT($B369),1)+COUNTIF(INDIRECT($B369),2)</f>
        <v>1</v>
      </c>
      <c r="C373" s="281"/>
      <c r="D373" s="281"/>
      <c r="E373" s="281"/>
      <c r="F373" s="281"/>
      <c r="G373" s="281"/>
      <c r="H373" s="215"/>
      <c r="I373" s="187"/>
      <c r="J373" s="153"/>
      <c r="K373" s="194"/>
      <c r="L373" s="153"/>
      <c r="M373" s="204"/>
      <c r="N373" s="204"/>
      <c r="O373" s="475">
        <v>1</v>
      </c>
      <c r="P373" s="476"/>
      <c r="Q373" s="587"/>
      <c r="R373" s="588"/>
      <c r="S373" s="588"/>
      <c r="T373" s="179" t="str">
        <f ca="1">G259</f>
        <v/>
      </c>
      <c r="U373" s="479"/>
      <c r="V373" s="480"/>
      <c r="W373" s="481"/>
      <c r="X373" s="165" t="str">
        <f ca="1">G271</f>
        <v/>
      </c>
      <c r="Y373" s="194"/>
    </row>
    <row r="374" spans="1:25" ht="21.95" customHeight="1" x14ac:dyDescent="0.2">
      <c r="A374" s="290" t="s">
        <v>364</v>
      </c>
      <c r="B374" s="282">
        <f ca="1">COUNTIF(INDIRECT($B369),0)</f>
        <v>0</v>
      </c>
      <c r="C374" s="281" t="s">
        <v>2607</v>
      </c>
      <c r="D374" s="281"/>
      <c r="E374" s="281"/>
      <c r="F374" s="281"/>
      <c r="G374" s="281"/>
      <c r="H374" s="215"/>
      <c r="I374" s="187"/>
      <c r="J374" s="153"/>
      <c r="K374" s="194"/>
      <c r="L374" s="153"/>
      <c r="M374" s="204"/>
      <c r="N374" s="204"/>
      <c r="O374" s="475">
        <v>2</v>
      </c>
      <c r="P374" s="476"/>
      <c r="Q374" s="477"/>
      <c r="R374" s="478"/>
      <c r="S374" s="478"/>
      <c r="T374" s="179" t="str">
        <f t="shared" ref="T374:T384" ca="1" si="40">G260</f>
        <v/>
      </c>
      <c r="U374" s="479"/>
      <c r="V374" s="480"/>
      <c r="W374" s="481"/>
      <c r="X374" s="165" t="str">
        <f t="shared" ref="X374:X384" ca="1" si="41">G272</f>
        <v/>
      </c>
      <c r="Y374" s="194"/>
    </row>
    <row r="375" spans="1:25" ht="21.95" customHeight="1" x14ac:dyDescent="0.2">
      <c r="A375" s="290" t="s">
        <v>365</v>
      </c>
      <c r="B375" s="291">
        <f ca="1">IFERROR(B370/B373,1.01)</f>
        <v>0</v>
      </c>
      <c r="C375" s="281"/>
      <c r="D375" s="281"/>
      <c r="E375" s="281"/>
      <c r="F375" s="281"/>
      <c r="G375" s="281"/>
      <c r="H375" s="215"/>
      <c r="I375" s="187"/>
      <c r="J375" s="153"/>
      <c r="K375" s="194"/>
      <c r="L375" s="153"/>
      <c r="M375" s="204"/>
      <c r="N375" s="204"/>
      <c r="O375" s="485">
        <v>3</v>
      </c>
      <c r="P375" s="486"/>
      <c r="Q375" s="487"/>
      <c r="R375" s="478"/>
      <c r="S375" s="478"/>
      <c r="T375" s="179" t="str">
        <f t="shared" ca="1" si="40"/>
        <v/>
      </c>
      <c r="U375" s="479"/>
      <c r="V375" s="480"/>
      <c r="W375" s="481"/>
      <c r="X375" s="165" t="str">
        <f t="shared" ca="1" si="41"/>
        <v/>
      </c>
      <c r="Y375" s="194"/>
    </row>
    <row r="376" spans="1:25" ht="21.95" customHeight="1" x14ac:dyDescent="0.2">
      <c r="A376" s="290" t="s">
        <v>366</v>
      </c>
      <c r="B376" s="292" t="str">
        <f ca="1">IF(B374&gt;0,"Data Error(s)",IF(B375=0,"Not Started",IF(B375&lt;1,ROUNDUP(B375*100,0)&amp;"% Done",IF(B375&gt;1,"Optional","Complete"))))</f>
        <v>Not Started</v>
      </c>
      <c r="C376" s="281"/>
      <c r="D376" s="281"/>
      <c r="E376" s="281"/>
      <c r="F376" s="281"/>
      <c r="G376" s="281"/>
      <c r="H376" s="215"/>
      <c r="I376" s="187"/>
      <c r="J376" s="153"/>
      <c r="K376" s="194"/>
      <c r="L376" s="153"/>
      <c r="M376" s="204"/>
      <c r="N376" s="204"/>
      <c r="O376" s="485">
        <v>4</v>
      </c>
      <c r="P376" s="486"/>
      <c r="Q376" s="487"/>
      <c r="R376" s="478"/>
      <c r="S376" s="478"/>
      <c r="T376" s="179" t="str">
        <f t="shared" ca="1" si="40"/>
        <v/>
      </c>
      <c r="U376" s="479"/>
      <c r="V376" s="480"/>
      <c r="W376" s="481"/>
      <c r="X376" s="165" t="str">
        <f t="shared" ca="1" si="41"/>
        <v/>
      </c>
      <c r="Y376" s="194"/>
    </row>
    <row r="377" spans="1:25" ht="21.95" customHeight="1" x14ac:dyDescent="0.2">
      <c r="A377" s="290" t="s">
        <v>367</v>
      </c>
      <c r="B377" s="282" t="str">
        <f ca="1">IF(B374&gt;0,0,IF(B375&lt;1,"",2))</f>
        <v/>
      </c>
      <c r="C377" s="281"/>
      <c r="D377" s="281"/>
      <c r="E377" s="281"/>
      <c r="F377" s="281"/>
      <c r="G377" s="281"/>
      <c r="H377" s="215"/>
      <c r="I377" s="187"/>
      <c r="J377" s="153"/>
      <c r="K377" s="194"/>
      <c r="L377" s="153"/>
      <c r="M377" s="204"/>
      <c r="N377" s="204"/>
      <c r="O377" s="485">
        <v>5</v>
      </c>
      <c r="P377" s="486"/>
      <c r="Q377" s="487"/>
      <c r="R377" s="478"/>
      <c r="S377" s="478"/>
      <c r="T377" s="179" t="str">
        <f t="shared" ca="1" si="40"/>
        <v/>
      </c>
      <c r="U377" s="479"/>
      <c r="V377" s="480"/>
      <c r="W377" s="481"/>
      <c r="X377" s="165" t="str">
        <f t="shared" ca="1" si="41"/>
        <v/>
      </c>
      <c r="Y377" s="194"/>
    </row>
    <row r="378" spans="1:25" ht="21.95" customHeight="1" x14ac:dyDescent="0.2">
      <c r="A378" s="290" t="s">
        <v>368</v>
      </c>
      <c r="B378" s="293" t="s">
        <v>3024</v>
      </c>
      <c r="C378" s="281"/>
      <c r="D378" s="281"/>
      <c r="E378" s="281"/>
      <c r="F378" s="281"/>
      <c r="G378" s="281"/>
      <c r="H378" s="215"/>
      <c r="I378" s="226"/>
      <c r="J378" s="204"/>
      <c r="K378" s="204"/>
      <c r="L378" s="204"/>
      <c r="M378" s="204"/>
      <c r="N378" s="204"/>
      <c r="O378" s="485">
        <v>6</v>
      </c>
      <c r="P378" s="486"/>
      <c r="Q378" s="487"/>
      <c r="R378" s="478"/>
      <c r="S378" s="478"/>
      <c r="T378" s="179" t="str">
        <f t="shared" ca="1" si="40"/>
        <v/>
      </c>
      <c r="U378" s="479"/>
      <c r="V378" s="480"/>
      <c r="W378" s="481"/>
      <c r="X378" s="165" t="str">
        <f t="shared" ca="1" si="41"/>
        <v/>
      </c>
      <c r="Y378" s="194"/>
    </row>
    <row r="379" spans="1:25" ht="21.95" customHeight="1" x14ac:dyDescent="0.2">
      <c r="A379" s="294" t="s">
        <v>2344</v>
      </c>
      <c r="B379" s="282">
        <v>0</v>
      </c>
      <c r="C379" s="281" t="s">
        <v>2462</v>
      </c>
      <c r="D379" s="281"/>
      <c r="E379" s="281"/>
      <c r="F379" s="281"/>
      <c r="G379" s="281"/>
      <c r="H379" s="215"/>
      <c r="I379" s="187"/>
      <c r="J379" s="153"/>
      <c r="K379" s="194"/>
      <c r="L379" s="153"/>
      <c r="M379" s="204"/>
      <c r="N379" s="204"/>
      <c r="O379" s="485">
        <v>7</v>
      </c>
      <c r="P379" s="486"/>
      <c r="Q379" s="487"/>
      <c r="R379" s="478"/>
      <c r="S379" s="478"/>
      <c r="T379" s="179" t="str">
        <f t="shared" ca="1" si="40"/>
        <v/>
      </c>
      <c r="U379" s="479"/>
      <c r="V379" s="480"/>
      <c r="W379" s="481"/>
      <c r="X379" s="165" t="str">
        <f t="shared" ca="1" si="41"/>
        <v/>
      </c>
      <c r="Y379" s="194"/>
    </row>
    <row r="380" spans="1:25" ht="21.95" customHeight="1" x14ac:dyDescent="0.2">
      <c r="A380" s="294" t="s">
        <v>2345</v>
      </c>
      <c r="B380" s="282" t="b">
        <f>(B379&gt;0)</f>
        <v>0</v>
      </c>
      <c r="C380" s="281"/>
      <c r="D380" s="281"/>
      <c r="E380" s="281"/>
      <c r="F380" s="281"/>
      <c r="G380" s="281"/>
      <c r="H380" s="215"/>
      <c r="I380" s="187"/>
      <c r="J380" s="153"/>
      <c r="K380" s="194"/>
      <c r="L380" s="153"/>
      <c r="M380" s="204"/>
      <c r="N380" s="204"/>
      <c r="O380" s="485">
        <v>8</v>
      </c>
      <c r="P380" s="486"/>
      <c r="Q380" s="487"/>
      <c r="R380" s="478"/>
      <c r="S380" s="478"/>
      <c r="T380" s="179" t="str">
        <f t="shared" ca="1" si="40"/>
        <v/>
      </c>
      <c r="U380" s="479"/>
      <c r="V380" s="480"/>
      <c r="W380" s="481"/>
      <c r="X380" s="165" t="str">
        <f t="shared" ca="1" si="41"/>
        <v/>
      </c>
      <c r="Y380" s="194"/>
    </row>
    <row r="381" spans="1:25" ht="21.95" customHeight="1" x14ac:dyDescent="0.2">
      <c r="A381" s="440" t="s">
        <v>3907</v>
      </c>
      <c r="B381" s="282">
        <v>6</v>
      </c>
      <c r="C381" s="281"/>
      <c r="D381" s="281"/>
      <c r="E381" s="281"/>
      <c r="F381" s="281"/>
      <c r="G381" s="281"/>
      <c r="H381" s="215"/>
      <c r="I381" s="226"/>
      <c r="J381" s="153"/>
      <c r="K381" s="215"/>
      <c r="L381" s="153"/>
      <c r="M381" s="204"/>
      <c r="N381" s="204"/>
      <c r="O381" s="485">
        <v>9</v>
      </c>
      <c r="P381" s="486"/>
      <c r="Q381" s="487"/>
      <c r="R381" s="478"/>
      <c r="S381" s="478"/>
      <c r="T381" s="179" t="str">
        <f t="shared" ca="1" si="40"/>
        <v/>
      </c>
      <c r="U381" s="479"/>
      <c r="V381" s="480"/>
      <c r="W381" s="481"/>
      <c r="X381" s="165" t="str">
        <f t="shared" ca="1" si="41"/>
        <v/>
      </c>
      <c r="Y381" s="194"/>
    </row>
    <row r="382" spans="1:25" ht="21.95" customHeight="1" x14ac:dyDescent="0.2">
      <c r="A382" s="440" t="s">
        <v>3908</v>
      </c>
      <c r="B382" s="282">
        <f ca="1">DATA_SCORE_HOMELESS_FINAL</f>
        <v>0</v>
      </c>
      <c r="C382" s="281"/>
      <c r="D382" s="281"/>
      <c r="E382" s="281"/>
      <c r="F382" s="281"/>
      <c r="G382" s="281"/>
      <c r="H382" s="215"/>
      <c r="I382" s="187"/>
      <c r="J382" s="153"/>
      <c r="K382" s="194"/>
      <c r="L382" s="153"/>
      <c r="M382" s="204"/>
      <c r="N382" s="204"/>
      <c r="O382" s="485">
        <v>10</v>
      </c>
      <c r="P382" s="486"/>
      <c r="Q382" s="487"/>
      <c r="R382" s="478"/>
      <c r="S382" s="478"/>
      <c r="T382" s="179" t="str">
        <f t="shared" ca="1" si="40"/>
        <v/>
      </c>
      <c r="U382" s="479"/>
      <c r="V382" s="480"/>
      <c r="W382" s="481"/>
      <c r="X382" s="165" t="str">
        <f t="shared" ca="1" si="41"/>
        <v/>
      </c>
      <c r="Y382" s="194"/>
    </row>
    <row r="383" spans="1:25" ht="21.95" customHeight="1" x14ac:dyDescent="0.2">
      <c r="A383" s="440" t="s">
        <v>3909</v>
      </c>
      <c r="B383" s="282" t="str">
        <f>SUBSTITUTE(CONFIG_POINT_HEADER_TEMPLATE,"[MAX]",B381)</f>
        <v>(Maximum Points: 6)</v>
      </c>
      <c r="C383" s="281"/>
      <c r="D383" s="281"/>
      <c r="E383" s="281"/>
      <c r="F383" s="281"/>
      <c r="G383" s="281"/>
      <c r="H383" s="215"/>
      <c r="I383" s="187"/>
      <c r="J383" s="153"/>
      <c r="K383" s="194"/>
      <c r="L383" s="153"/>
      <c r="M383" s="194"/>
      <c r="N383" s="153"/>
      <c r="O383" s="485">
        <v>11</v>
      </c>
      <c r="P383" s="486"/>
      <c r="Q383" s="487"/>
      <c r="R383" s="478"/>
      <c r="S383" s="478"/>
      <c r="T383" s="179" t="str">
        <f t="shared" ca="1" si="40"/>
        <v/>
      </c>
      <c r="U383" s="479"/>
      <c r="V383" s="480"/>
      <c r="W383" s="481"/>
      <c r="X383" s="165" t="str">
        <f t="shared" ca="1" si="41"/>
        <v/>
      </c>
      <c r="Y383" s="194"/>
    </row>
    <row r="384" spans="1:25" ht="21.95" customHeight="1" x14ac:dyDescent="0.2">
      <c r="A384" s="440" t="s">
        <v>3910</v>
      </c>
      <c r="B384" s="441" t="str">
        <f ca="1">SUBSTITUTE(CONFIG_SCORE_SUBHEADER_TEMPLATE,"[SCORE]",ROUND(B382,2))</f>
        <v>Estimated Score: 0</v>
      </c>
      <c r="C384" s="281"/>
      <c r="D384" s="281"/>
      <c r="E384" s="281"/>
      <c r="F384" s="281"/>
      <c r="G384" s="281"/>
      <c r="H384" s="215"/>
      <c r="I384" s="187"/>
      <c r="J384" s="153"/>
      <c r="K384" s="194"/>
      <c r="L384" s="153"/>
      <c r="M384" s="194"/>
      <c r="N384" s="153"/>
      <c r="O384" s="485">
        <v>12</v>
      </c>
      <c r="P384" s="486"/>
      <c r="Q384" s="487"/>
      <c r="R384" s="478"/>
      <c r="S384" s="478"/>
      <c r="T384" s="179" t="str">
        <f t="shared" ca="1" si="40"/>
        <v/>
      </c>
      <c r="U384" s="479"/>
      <c r="V384" s="480"/>
      <c r="W384" s="481"/>
      <c r="X384" s="165" t="str">
        <f t="shared" ca="1" si="41"/>
        <v/>
      </c>
      <c r="Y384" s="194"/>
    </row>
    <row r="385" spans="1:25" ht="21.95" customHeight="1" x14ac:dyDescent="0.2">
      <c r="A385" s="285" t="s">
        <v>351</v>
      </c>
      <c r="B385" s="305" t="str">
        <f>C385&amp;" "&amp;B405</f>
        <v>Promotion of Empowerment (Maximum Points: 5)</v>
      </c>
      <c r="C385" s="287" t="s">
        <v>3032</v>
      </c>
      <c r="D385" s="287"/>
      <c r="E385" s="287"/>
      <c r="F385" s="287"/>
      <c r="G385" s="172" t="str">
        <f>B400</f>
        <v>Promotion of Empowerment</v>
      </c>
      <c r="H385" s="215"/>
      <c r="I385" s="194"/>
      <c r="J385" s="153"/>
      <c r="K385" s="194"/>
      <c r="L385" s="153"/>
      <c r="M385" s="194"/>
      <c r="N385" s="594" t="str">
        <f ca="1">D283</f>
        <v/>
      </c>
      <c r="O385" s="594"/>
      <c r="P385" s="594"/>
      <c r="Q385" s="594"/>
      <c r="R385" s="594"/>
      <c r="S385" s="594"/>
      <c r="T385" s="594"/>
      <c r="U385" s="594"/>
      <c r="V385" s="594"/>
      <c r="W385" s="594"/>
      <c r="X385" s="153"/>
      <c r="Y385" s="194"/>
    </row>
    <row r="386" spans="1:25" ht="21.95" customHeight="1" x14ac:dyDescent="0.2">
      <c r="A386" s="273" t="s">
        <v>3041</v>
      </c>
      <c r="B386" s="288" t="str">
        <f>IF(W575="","",IF(UPPER(W575)="YES",TRUE,FALSE))</f>
        <v/>
      </c>
      <c r="C386" s="281">
        <f ca="1">VLOOKUP(A386,DB_TBL_DATA_FIELDS[[FIELD_ID]:[PCT_CALC_FIELD_STATUS_CODE]],22,FALSE)</f>
        <v>1</v>
      </c>
      <c r="D386" s="281" t="str">
        <f>IF(VLOOKUP(A386,DB_TBL_DATA_FIELDS[[FIELD_ID]:[ERROR_MESSAGE]],23,FALSE)&lt;&gt;0,VLOOKUP(A386,DB_TBL_DATA_FIELDS[[FIELD_ID]:[ERROR_MESSAGE]],23,FALSE),"")</f>
        <v/>
      </c>
      <c r="E386" s="281">
        <f>VLOOKUP(A386,DB_TBL_DATA_FIELDS[[#All],[FIELD_ID]:[RANGE_VALIDATION_MAX]],18,FALSE)</f>
        <v>0</v>
      </c>
      <c r="F386" s="281">
        <f>VLOOKUP(A386,DB_TBL_DATA_FIELDS[[#All],[FIELD_ID]:[RANGE_VALIDATION_MAX]],19,FALSE)</f>
        <v>1</v>
      </c>
      <c r="G386" s="281">
        <f ca="1">IF(C386&lt;0,"",C386)</f>
        <v>1</v>
      </c>
      <c r="H386" s="215"/>
      <c r="I386" s="194"/>
      <c r="J386" s="153"/>
      <c r="K386" s="194"/>
      <c r="L386" s="153"/>
      <c r="M386" s="194"/>
      <c r="N386" s="539"/>
      <c r="O386" s="539"/>
      <c r="P386" s="539"/>
      <c r="Q386" s="539"/>
      <c r="R386" s="539"/>
      <c r="S386" s="539"/>
      <c r="T386" s="539"/>
      <c r="U386" s="539"/>
      <c r="V386" s="539"/>
      <c r="W386" s="539"/>
      <c r="X386" s="153"/>
      <c r="Y386" s="194"/>
    </row>
    <row r="387" spans="1:25" ht="21.95" customHeight="1" x14ac:dyDescent="0.2">
      <c r="A387" s="273" t="s">
        <v>3042</v>
      </c>
      <c r="B387" s="288" t="str">
        <f>IF(W579="","",IF(UPPER(W579)="YES",TRUE,FALSE))</f>
        <v/>
      </c>
      <c r="C387" s="281" t="str">
        <f ca="1">VLOOKUP(A387,DB_TBL_DATA_FIELDS[[FIELD_ID]:[PCT_CALC_FIELD_STATUS_CODE]],22,FALSE)</f>
        <v/>
      </c>
      <c r="D387" s="281" t="str">
        <f>IF(VLOOKUP(A387,DB_TBL_DATA_FIELDS[[FIELD_ID]:[ERROR_MESSAGE]],23,FALSE)&lt;&gt;0,VLOOKUP(A387,DB_TBL_DATA_FIELDS[[FIELD_ID]:[ERROR_MESSAGE]],23,FALSE),"")</f>
        <v/>
      </c>
      <c r="E387" s="281">
        <f>VLOOKUP(A387,DB_TBL_DATA_FIELDS[[#All],[FIELD_ID]:[RANGE_VALIDATION_MAX]],18,FALSE)</f>
        <v>0</v>
      </c>
      <c r="F387" s="281">
        <f>VLOOKUP(A387,DB_TBL_DATA_FIELDS[[#All],[FIELD_ID]:[RANGE_VALIDATION_MAX]],19,FALSE)</f>
        <v>1</v>
      </c>
      <c r="G387" s="281" t="str">
        <f t="shared" ref="G387:G392" ca="1" si="42">IF(C387&lt;0,"",C387)</f>
        <v/>
      </c>
      <c r="H387" s="215"/>
      <c r="I387" s="194"/>
      <c r="J387" s="153"/>
      <c r="K387" s="194"/>
      <c r="L387" s="153"/>
      <c r="M387" s="194"/>
      <c r="N387" s="153"/>
      <c r="O387" s="194"/>
      <c r="P387" s="153"/>
      <c r="Q387" s="194"/>
      <c r="R387" s="153"/>
      <c r="S387" s="194"/>
      <c r="T387" s="153"/>
      <c r="U387" s="194"/>
      <c r="V387" s="153"/>
      <c r="W387" s="194"/>
      <c r="X387" s="153"/>
      <c r="Y387" s="194"/>
    </row>
    <row r="388" spans="1:25" ht="21.95" customHeight="1" thickBot="1" x14ac:dyDescent="0.25">
      <c r="A388" s="273" t="s">
        <v>3047</v>
      </c>
      <c r="B388" s="288" t="str">
        <f>IF(W584="","",IF(UPPER(W584)="YES",TRUE,FALSE))</f>
        <v/>
      </c>
      <c r="C388" s="281" t="str">
        <f ca="1">VLOOKUP(A388,DB_TBL_DATA_FIELDS[[FIELD_ID]:[PCT_CALC_FIELD_STATUS_CODE]],22,FALSE)</f>
        <v/>
      </c>
      <c r="D388" s="281" t="str">
        <f>IF(VLOOKUP(A388,DB_TBL_DATA_FIELDS[[FIELD_ID]:[ERROR_MESSAGE]],23,FALSE)&lt;&gt;0,VLOOKUP(A388,DB_TBL_DATA_FIELDS[[FIELD_ID]:[ERROR_MESSAGE]],23,FALSE),"")</f>
        <v/>
      </c>
      <c r="E388" s="281">
        <f>VLOOKUP(A388,DB_TBL_DATA_FIELDS[[#All],[FIELD_ID]:[RANGE_VALIDATION_MAX]],18,FALSE)</f>
        <v>0</v>
      </c>
      <c r="F388" s="281">
        <f>VLOOKUP(A388,DB_TBL_DATA_FIELDS[[#All],[FIELD_ID]:[RANGE_VALIDATION_MAX]],19,FALSE)</f>
        <v>1</v>
      </c>
      <c r="G388" s="281" t="str">
        <f t="shared" ref="G388" ca="1" si="43">IF(C388&lt;0,"",C388)</f>
        <v/>
      </c>
      <c r="H388" s="215"/>
      <c r="I388" s="424" t="str">
        <f>B299</f>
        <v>Use of Donated or Conveyed Government-owned or Other Properties (Maximum Points: 5)</v>
      </c>
      <c r="J388" s="269"/>
      <c r="K388" s="269"/>
      <c r="L388" s="269"/>
      <c r="M388" s="269"/>
      <c r="N388" s="269"/>
      <c r="O388" s="269"/>
      <c r="P388" s="269"/>
      <c r="Q388" s="269"/>
      <c r="R388" s="269"/>
      <c r="S388" s="269"/>
      <c r="T388" s="269"/>
      <c r="U388" s="269"/>
      <c r="V388" s="269"/>
      <c r="W388" s="269"/>
      <c r="X388" s="167" t="str">
        <f ca="1">"Status: "&amp;$B$329</f>
        <v>Status: Not Started</v>
      </c>
      <c r="Y388" s="194"/>
    </row>
    <row r="389" spans="1:25" ht="21.95" customHeight="1" x14ac:dyDescent="0.2">
      <c r="A389" s="273" t="s">
        <v>3044</v>
      </c>
      <c r="B389" s="288" t="str">
        <f>IF(W588="","",IF(UPPER(W588)="YES",TRUE,FALSE))</f>
        <v/>
      </c>
      <c r="C389" s="281">
        <f ca="1">VLOOKUP(A389,DB_TBL_DATA_FIELDS[[FIELD_ID]:[PCT_CALC_FIELD_STATUS_CODE]],22,FALSE)</f>
        <v>1</v>
      </c>
      <c r="D389" s="281" t="str">
        <f>IF(VLOOKUP(A389,DB_TBL_DATA_FIELDS[[FIELD_ID]:[ERROR_MESSAGE]],23,FALSE)&lt;&gt;0,VLOOKUP(A389,DB_TBL_DATA_FIELDS[[FIELD_ID]:[ERROR_MESSAGE]],23,FALSE),"")</f>
        <v/>
      </c>
      <c r="E389" s="281">
        <f>VLOOKUP(A389,DB_TBL_DATA_FIELDS[[#All],[FIELD_ID]:[RANGE_VALIDATION_MAX]],18,FALSE)</f>
        <v>0</v>
      </c>
      <c r="F389" s="281">
        <f>VLOOKUP(A389,DB_TBL_DATA_FIELDS[[#All],[FIELD_ID]:[RANGE_VALIDATION_MAX]],19,FALSE)</f>
        <v>1</v>
      </c>
      <c r="G389" s="281">
        <f t="shared" ca="1" si="42"/>
        <v>1</v>
      </c>
      <c r="H389" s="215"/>
      <c r="I389" s="194"/>
      <c r="J389" s="153"/>
      <c r="K389" s="194"/>
      <c r="L389" s="153"/>
      <c r="M389" s="194"/>
      <c r="N389" s="153"/>
      <c r="O389" s="194"/>
      <c r="P389" s="153"/>
      <c r="Q389" s="194"/>
      <c r="R389" s="153"/>
      <c r="S389" s="194"/>
      <c r="T389" s="153"/>
      <c r="U389" s="194"/>
      <c r="V389" s="153"/>
      <c r="W389" s="194"/>
      <c r="X389" s="153"/>
      <c r="Y389" s="194"/>
    </row>
    <row r="390" spans="1:25" ht="21.95" customHeight="1" x14ac:dyDescent="0.2">
      <c r="A390" s="273" t="s">
        <v>3045</v>
      </c>
      <c r="B390" s="288" t="str">
        <f>IF(W592="","",IF(UPPER(W592)="YES",TRUE,FALSE))</f>
        <v/>
      </c>
      <c r="C390" s="281">
        <f ca="1">VLOOKUP(A390,DB_TBL_DATA_FIELDS[[FIELD_ID]:[PCT_CALC_FIELD_STATUS_CODE]],22,FALSE)</f>
        <v>1</v>
      </c>
      <c r="D390" s="281" t="str">
        <f>IF(VLOOKUP(A390,DB_TBL_DATA_FIELDS[[FIELD_ID]:[ERROR_MESSAGE]],23,FALSE)&lt;&gt;0,VLOOKUP(A390,DB_TBL_DATA_FIELDS[[FIELD_ID]:[ERROR_MESSAGE]],23,FALSE),"")</f>
        <v/>
      </c>
      <c r="E390" s="281">
        <f>VLOOKUP(A390,DB_TBL_DATA_FIELDS[[#All],[FIELD_ID]:[RANGE_VALIDATION_MAX]],18,FALSE)</f>
        <v>0</v>
      </c>
      <c r="F390" s="281">
        <f>VLOOKUP(A390,DB_TBL_DATA_FIELDS[[#All],[FIELD_ID]:[RANGE_VALIDATION_MAX]],19,FALSE)</f>
        <v>1</v>
      </c>
      <c r="G390" s="281">
        <f t="shared" ca="1" si="42"/>
        <v>1</v>
      </c>
      <c r="H390" s="215"/>
      <c r="I390" s="709" t="s">
        <v>2842</v>
      </c>
      <c r="J390" s="741"/>
      <c r="K390" s="741"/>
      <c r="L390" s="741"/>
      <c r="M390" s="741"/>
      <c r="N390" s="741"/>
      <c r="O390" s="741"/>
      <c r="P390" s="741"/>
      <c r="Q390" s="741"/>
      <c r="R390" s="741"/>
      <c r="S390" s="741"/>
      <c r="T390" s="741"/>
      <c r="U390" s="741"/>
      <c r="V390" s="741"/>
      <c r="W390" s="741"/>
      <c r="X390" s="153"/>
      <c r="Y390" s="194"/>
    </row>
    <row r="391" spans="1:25" ht="21.95" customHeight="1" x14ac:dyDescent="0.2">
      <c r="A391" s="273" t="s">
        <v>3046</v>
      </c>
      <c r="B391" s="288" t="str">
        <f>IF(W596="","",IF(UPPER(W596)="YES",TRUE,FALSE))</f>
        <v/>
      </c>
      <c r="C391" s="281">
        <f ca="1">VLOOKUP(A391,DB_TBL_DATA_FIELDS[[FIELD_ID]:[PCT_CALC_FIELD_STATUS_CODE]],22,FALSE)</f>
        <v>1</v>
      </c>
      <c r="D391" s="281" t="str">
        <f>IF(VLOOKUP(A391,DB_TBL_DATA_FIELDS[[FIELD_ID]:[ERROR_MESSAGE]],23,FALSE)&lt;&gt;0,VLOOKUP(A391,DB_TBL_DATA_FIELDS[[FIELD_ID]:[ERROR_MESSAGE]],23,FALSE),"")</f>
        <v/>
      </c>
      <c r="E391" s="281">
        <f>VLOOKUP(A391,DB_TBL_DATA_FIELDS[[#All],[FIELD_ID]:[RANGE_VALIDATION_MAX]],18,FALSE)</f>
        <v>0</v>
      </c>
      <c r="F391" s="281">
        <f>VLOOKUP(A391,DB_TBL_DATA_FIELDS[[#All],[FIELD_ID]:[RANGE_VALIDATION_MAX]],19,FALSE)</f>
        <v>1</v>
      </c>
      <c r="G391" s="281">
        <f t="shared" ca="1" si="42"/>
        <v>1</v>
      </c>
      <c r="H391" s="215"/>
      <c r="I391" s="741"/>
      <c r="J391" s="741"/>
      <c r="K391" s="741"/>
      <c r="L391" s="741"/>
      <c r="M391" s="741"/>
      <c r="N391" s="741"/>
      <c r="O391" s="741"/>
      <c r="P391" s="741"/>
      <c r="Q391" s="741"/>
      <c r="R391" s="741"/>
      <c r="S391" s="741"/>
      <c r="T391" s="741"/>
      <c r="U391" s="741"/>
      <c r="V391" s="741"/>
      <c r="W391" s="741"/>
      <c r="X391" s="153"/>
      <c r="Y391" s="194"/>
    </row>
    <row r="392" spans="1:25" ht="21.95" customHeight="1" x14ac:dyDescent="0.2">
      <c r="A392" s="273" t="s">
        <v>3048</v>
      </c>
      <c r="B392" s="288" t="str">
        <f>IF(W601="","",IF(UPPER(W601)="YES",TRUE,FALSE))</f>
        <v/>
      </c>
      <c r="C392" s="281">
        <f ca="1">VLOOKUP(A392,DB_TBL_DATA_FIELDS[[FIELD_ID]:[PCT_CALC_FIELD_STATUS_CODE]],22,FALSE)</f>
        <v>1</v>
      </c>
      <c r="D392" s="281" t="str">
        <f>IF(VLOOKUP(A392,DB_TBL_DATA_FIELDS[[FIELD_ID]:[ERROR_MESSAGE]],23,FALSE)&lt;&gt;0,VLOOKUP(A392,DB_TBL_DATA_FIELDS[[FIELD_ID]:[ERROR_MESSAGE]],23,FALSE),"")</f>
        <v/>
      </c>
      <c r="E392" s="281">
        <f>VLOOKUP(A392,DB_TBL_DATA_FIELDS[[#All],[FIELD_ID]:[RANGE_VALIDATION_MAX]],18,FALSE)</f>
        <v>0</v>
      </c>
      <c r="F392" s="281">
        <f>VLOOKUP(A392,DB_TBL_DATA_FIELDS[[#All],[FIELD_ID]:[RANGE_VALIDATION_MAX]],19,FALSE)</f>
        <v>1</v>
      </c>
      <c r="G392" s="281">
        <f t="shared" ca="1" si="42"/>
        <v>1</v>
      </c>
      <c r="H392" s="215"/>
      <c r="I392" s="741"/>
      <c r="J392" s="741"/>
      <c r="K392" s="741"/>
      <c r="L392" s="741"/>
      <c r="M392" s="741"/>
      <c r="N392" s="741"/>
      <c r="O392" s="741"/>
      <c r="P392" s="741"/>
      <c r="Q392" s="741"/>
      <c r="R392" s="741"/>
      <c r="S392" s="741"/>
      <c r="T392" s="741"/>
      <c r="U392" s="741"/>
      <c r="V392" s="741"/>
      <c r="W392" s="741"/>
      <c r="X392" s="153"/>
      <c r="Y392" s="194"/>
    </row>
    <row r="393" spans="1:25" ht="21.95" customHeight="1" x14ac:dyDescent="0.2">
      <c r="A393" s="290" t="s">
        <v>352</v>
      </c>
      <c r="B393" s="282" t="str">
        <f>"C"&amp;MATCH(LEFT(A393,LEN(A393)-LEN("_RANGE")),A:A,0)+1&amp;":C"&amp;(ROW()-1)</f>
        <v>C386:C392</v>
      </c>
      <c r="C393" s="281"/>
      <c r="D393" s="281"/>
      <c r="E393" s="281"/>
      <c r="F393" s="281"/>
      <c r="G393" s="281"/>
      <c r="H393" s="215"/>
      <c r="I393" s="741"/>
      <c r="J393" s="741"/>
      <c r="K393" s="741"/>
      <c r="L393" s="741"/>
      <c r="M393" s="741"/>
      <c r="N393" s="741"/>
      <c r="O393" s="741"/>
      <c r="P393" s="741"/>
      <c r="Q393" s="741"/>
      <c r="R393" s="741"/>
      <c r="S393" s="741"/>
      <c r="T393" s="741"/>
      <c r="U393" s="741"/>
      <c r="V393" s="741"/>
      <c r="W393" s="741"/>
      <c r="X393" s="153"/>
      <c r="Y393" s="194"/>
    </row>
    <row r="394" spans="1:25" ht="21.95" customHeight="1" x14ac:dyDescent="0.2">
      <c r="A394" s="290" t="s">
        <v>353</v>
      </c>
      <c r="B394" s="282">
        <f ca="1">COUNTIF(INDIRECT($B393),2)</f>
        <v>0</v>
      </c>
      <c r="C394" s="281"/>
      <c r="D394" s="281"/>
      <c r="E394" s="281"/>
      <c r="F394" s="281"/>
      <c r="G394" s="281"/>
      <c r="H394" s="215"/>
      <c r="I394" s="741"/>
      <c r="J394" s="741"/>
      <c r="K394" s="741"/>
      <c r="L394" s="741"/>
      <c r="M394" s="741"/>
      <c r="N394" s="741"/>
      <c r="O394" s="741"/>
      <c r="P394" s="741"/>
      <c r="Q394" s="741"/>
      <c r="R394" s="741"/>
      <c r="S394" s="741"/>
      <c r="T394" s="741"/>
      <c r="U394" s="741"/>
      <c r="V394" s="741"/>
      <c r="W394" s="741"/>
      <c r="X394" s="153"/>
      <c r="Y394" s="194"/>
    </row>
    <row r="395" spans="1:25" ht="21.95" customHeight="1" x14ac:dyDescent="0.2">
      <c r="A395" s="290" t="s">
        <v>354</v>
      </c>
      <c r="B395" s="282">
        <f ca="1">COUNTIF(INDIRECT($B393),0)+COUNTIF(INDIRECT($B393),1)+COUNTIF(INDIRECT($B393),2)</f>
        <v>5</v>
      </c>
      <c r="C395" s="281"/>
      <c r="D395" s="281"/>
      <c r="E395" s="281"/>
      <c r="F395" s="281"/>
      <c r="G395" s="281"/>
      <c r="H395" s="215"/>
      <c r="I395" s="469" t="s">
        <v>3675</v>
      </c>
      <c r="J395" s="469"/>
      <c r="K395" s="469"/>
      <c r="L395" s="469"/>
      <c r="M395" s="469"/>
      <c r="N395" s="469"/>
      <c r="O395" s="469"/>
      <c r="P395" s="469"/>
      <c r="Q395" s="469"/>
      <c r="R395" s="469"/>
      <c r="S395" s="469"/>
      <c r="T395" s="469"/>
      <c r="U395" s="469"/>
      <c r="V395" s="469"/>
      <c r="W395" s="469"/>
      <c r="X395" s="153"/>
      <c r="Y395" s="194"/>
    </row>
    <row r="396" spans="1:25" ht="21.95" customHeight="1" x14ac:dyDescent="0.2">
      <c r="A396" s="290" t="s">
        <v>355</v>
      </c>
      <c r="B396" s="282">
        <f ca="1">COUNTIF(INDIRECT($B393),0)</f>
        <v>0</v>
      </c>
      <c r="C396" s="281" t="s">
        <v>2607</v>
      </c>
      <c r="D396" s="281"/>
      <c r="E396" s="281"/>
      <c r="F396" s="281"/>
      <c r="G396" s="281"/>
      <c r="H396" s="215"/>
      <c r="I396" s="469"/>
      <c r="J396" s="469"/>
      <c r="K396" s="469"/>
      <c r="L396" s="469"/>
      <c r="M396" s="469"/>
      <c r="N396" s="469"/>
      <c r="O396" s="469"/>
      <c r="P396" s="469"/>
      <c r="Q396" s="469"/>
      <c r="R396" s="469"/>
      <c r="S396" s="469"/>
      <c r="T396" s="469"/>
      <c r="U396" s="469"/>
      <c r="V396" s="469"/>
      <c r="W396" s="469"/>
      <c r="X396" s="153"/>
      <c r="Y396" s="194"/>
    </row>
    <row r="397" spans="1:25" ht="21.95" customHeight="1" x14ac:dyDescent="0.2">
      <c r="A397" s="290" t="s">
        <v>356</v>
      </c>
      <c r="B397" s="291">
        <f ca="1">IFERROR(B394/B395,1.01)</f>
        <v>0</v>
      </c>
      <c r="C397" s="281"/>
      <c r="D397" s="281"/>
      <c r="E397" s="281"/>
      <c r="F397" s="281"/>
      <c r="G397" s="281"/>
      <c r="H397" s="215"/>
      <c r="I397" s="469"/>
      <c r="J397" s="469"/>
      <c r="K397" s="469"/>
      <c r="L397" s="469"/>
      <c r="M397" s="469"/>
      <c r="N397" s="469"/>
      <c r="O397" s="469"/>
      <c r="P397" s="469"/>
      <c r="Q397" s="469"/>
      <c r="R397" s="469"/>
      <c r="S397" s="469"/>
      <c r="T397" s="469"/>
      <c r="U397" s="469"/>
      <c r="V397" s="469"/>
      <c r="W397" s="469"/>
      <c r="X397" s="153"/>
      <c r="Y397" s="194"/>
    </row>
    <row r="398" spans="1:25" ht="21.95" customHeight="1" x14ac:dyDescent="0.2">
      <c r="A398" s="290" t="s">
        <v>357</v>
      </c>
      <c r="B398" s="292" t="str">
        <f ca="1">IF(B396&gt;0,"Data Error(s)",IF(B397=0,"Not Started",IF(B397&lt;1,ROUNDUP(B397*100,0)&amp;"% Done",IF(B397&gt;1,"Optional","Complete"))))</f>
        <v>Not Started</v>
      </c>
      <c r="C398" s="281"/>
      <c r="D398" s="281"/>
      <c r="E398" s="281"/>
      <c r="F398" s="281"/>
      <c r="G398" s="281"/>
      <c r="H398" s="215"/>
      <c r="I398" s="469" t="s">
        <v>3676</v>
      </c>
      <c r="J398" s="469"/>
      <c r="K398" s="469"/>
      <c r="L398" s="469"/>
      <c r="M398" s="469"/>
      <c r="N398" s="469"/>
      <c r="O398" s="469"/>
      <c r="P398" s="469"/>
      <c r="Q398" s="469"/>
      <c r="R398" s="469"/>
      <c r="S398" s="469"/>
      <c r="T398" s="469"/>
      <c r="U398" s="469"/>
      <c r="V398" s="469"/>
      <c r="W398" s="469"/>
      <c r="X398" s="153"/>
      <c r="Y398" s="194"/>
    </row>
    <row r="399" spans="1:25" ht="21.95" customHeight="1" x14ac:dyDescent="0.2">
      <c r="A399" s="290" t="s">
        <v>358</v>
      </c>
      <c r="B399" s="282" t="str">
        <f ca="1">IF(B396&gt;0,0,IF(B397&lt;1,"",2))</f>
        <v/>
      </c>
      <c r="C399" s="281"/>
      <c r="D399" s="281"/>
      <c r="E399" s="281"/>
      <c r="F399" s="281"/>
      <c r="G399" s="281"/>
      <c r="H399" s="215"/>
      <c r="I399" s="469"/>
      <c r="J399" s="469"/>
      <c r="K399" s="469"/>
      <c r="L399" s="469"/>
      <c r="M399" s="469"/>
      <c r="N399" s="469"/>
      <c r="O399" s="469"/>
      <c r="P399" s="469"/>
      <c r="Q399" s="469"/>
      <c r="R399" s="469"/>
      <c r="S399" s="469"/>
      <c r="T399" s="469"/>
      <c r="U399" s="469"/>
      <c r="V399" s="469"/>
      <c r="W399" s="469"/>
      <c r="X399" s="153"/>
      <c r="Y399" s="194"/>
    </row>
    <row r="400" spans="1:25" ht="21.95" customHeight="1" x14ac:dyDescent="0.2">
      <c r="A400" s="290" t="s">
        <v>359</v>
      </c>
      <c r="B400" s="293" t="s">
        <v>3032</v>
      </c>
      <c r="C400" s="281"/>
      <c r="D400" s="281"/>
      <c r="E400" s="281"/>
      <c r="F400" s="281"/>
      <c r="G400" s="281"/>
      <c r="H400" s="215"/>
      <c r="I400" s="469"/>
      <c r="J400" s="469"/>
      <c r="K400" s="469"/>
      <c r="L400" s="469"/>
      <c r="M400" s="469"/>
      <c r="N400" s="469"/>
      <c r="O400" s="469"/>
      <c r="P400" s="469"/>
      <c r="Q400" s="469"/>
      <c r="R400" s="469"/>
      <c r="S400" s="469"/>
      <c r="T400" s="469"/>
      <c r="U400" s="469"/>
      <c r="V400" s="469"/>
      <c r="W400" s="469"/>
      <c r="X400" s="153"/>
      <c r="Y400" s="194"/>
    </row>
    <row r="401" spans="1:25" ht="21.95" customHeight="1" thickBot="1" x14ac:dyDescent="0.25">
      <c r="A401" s="294" t="s">
        <v>2374</v>
      </c>
      <c r="B401" s="282">
        <v>0</v>
      </c>
      <c r="C401" s="281" t="s">
        <v>2462</v>
      </c>
      <c r="D401" s="281"/>
      <c r="E401" s="281"/>
      <c r="F401" s="281"/>
      <c r="G401" s="281"/>
      <c r="H401" s="215"/>
      <c r="I401" s="216" t="s">
        <v>2843</v>
      </c>
      <c r="J401" s="242"/>
      <c r="K401" s="242"/>
      <c r="L401" s="242"/>
      <c r="M401" s="242"/>
      <c r="N401" s="242"/>
      <c r="O401" s="242"/>
      <c r="P401" s="242"/>
      <c r="Q401" s="242"/>
      <c r="R401" s="242"/>
      <c r="S401" s="242"/>
      <c r="T401" s="242"/>
      <c r="U401" s="242"/>
      <c r="V401" s="242"/>
      <c r="W401" s="242"/>
      <c r="X401" s="153"/>
      <c r="Y401" s="194"/>
    </row>
    <row r="402" spans="1:25" ht="21.95" customHeight="1" thickTop="1" x14ac:dyDescent="0.2">
      <c r="A402" s="294" t="s">
        <v>2375</v>
      </c>
      <c r="B402" s="282" t="b">
        <f>(B401&gt;0)</f>
        <v>0</v>
      </c>
      <c r="C402" s="281"/>
      <c r="D402" s="281"/>
      <c r="E402" s="281"/>
      <c r="F402" s="281"/>
      <c r="G402" s="281"/>
      <c r="H402" s="215"/>
      <c r="I402" s="535" t="str">
        <f ca="1">D300</f>
        <v/>
      </c>
      <c r="J402" s="536"/>
      <c r="K402" s="536"/>
      <c r="L402" s="536"/>
      <c r="M402" s="536"/>
      <c r="N402" s="536"/>
      <c r="O402" s="536"/>
      <c r="P402" s="536"/>
      <c r="Q402" s="536"/>
      <c r="R402" s="536"/>
      <c r="S402" s="536"/>
      <c r="T402" s="536"/>
      <c r="U402" s="536"/>
      <c r="V402" s="536"/>
      <c r="W402" s="536"/>
      <c r="X402" s="153"/>
      <c r="Y402" s="194"/>
    </row>
    <row r="403" spans="1:25" ht="21.95" customHeight="1" x14ac:dyDescent="0.2">
      <c r="A403" s="440" t="s">
        <v>3903</v>
      </c>
      <c r="B403" s="282">
        <v>5</v>
      </c>
      <c r="C403" s="281"/>
      <c r="D403" s="281"/>
      <c r="E403" s="281"/>
      <c r="F403" s="281"/>
      <c r="G403" s="281"/>
      <c r="H403" s="215"/>
      <c r="I403" s="563" t="s">
        <v>3445</v>
      </c>
      <c r="J403" s="614"/>
      <c r="K403" s="614"/>
      <c r="L403" s="614"/>
      <c r="M403" s="614"/>
      <c r="N403" s="614"/>
      <c r="O403" s="614"/>
      <c r="P403" s="614"/>
      <c r="Q403" s="614"/>
      <c r="R403" s="614"/>
      <c r="S403" s="614"/>
      <c r="T403" s="614"/>
      <c r="U403" s="614"/>
      <c r="V403" s="204"/>
      <c r="W403" s="230"/>
      <c r="X403" s="165">
        <f ca="1">G300</f>
        <v>1</v>
      </c>
      <c r="Y403" s="194"/>
    </row>
    <row r="404" spans="1:25" ht="21.95" customHeight="1" x14ac:dyDescent="0.2">
      <c r="A404" s="440" t="s">
        <v>3904</v>
      </c>
      <c r="B404" s="282">
        <f ca="1">DATA_SCORE_EMPOWERMENT_FINAL</f>
        <v>0</v>
      </c>
      <c r="C404" s="281"/>
      <c r="D404" s="281"/>
      <c r="E404" s="281"/>
      <c r="F404" s="281"/>
      <c r="G404" s="281"/>
      <c r="H404" s="215"/>
      <c r="I404" s="614"/>
      <c r="J404" s="614"/>
      <c r="K404" s="614"/>
      <c r="L404" s="614"/>
      <c r="M404" s="614"/>
      <c r="N404" s="614"/>
      <c r="O404" s="614"/>
      <c r="P404" s="614"/>
      <c r="Q404" s="614"/>
      <c r="R404" s="614"/>
      <c r="S404" s="614"/>
      <c r="T404" s="614"/>
      <c r="U404" s="614"/>
      <c r="V404" s="153"/>
      <c r="W404" s="194"/>
      <c r="X404" s="153"/>
      <c r="Y404" s="194"/>
    </row>
    <row r="405" spans="1:25" ht="21.95" customHeight="1" x14ac:dyDescent="0.2">
      <c r="A405" s="440" t="s">
        <v>3905</v>
      </c>
      <c r="B405" s="282" t="str">
        <f>SUBSTITUTE(CONFIG_POINT_HEADER_TEMPLATE,"[MAX]",B403)</f>
        <v>(Maximum Points: 5)</v>
      </c>
      <c r="C405" s="281"/>
      <c r="D405" s="281"/>
      <c r="E405" s="281"/>
      <c r="F405" s="281"/>
      <c r="G405" s="281"/>
      <c r="H405" s="215"/>
      <c r="I405" s="207" t="s">
        <v>2844</v>
      </c>
      <c r="J405" s="153"/>
      <c r="K405" s="215"/>
      <c r="L405" s="153"/>
      <c r="M405" s="215"/>
      <c r="N405" s="153"/>
      <c r="O405" s="215"/>
      <c r="P405" s="153"/>
      <c r="Q405" s="215"/>
      <c r="R405" s="153"/>
      <c r="S405" s="207" t="s">
        <v>3384</v>
      </c>
      <c r="T405" s="153"/>
      <c r="U405" s="215"/>
      <c r="V405" s="153"/>
      <c r="W405" s="215"/>
      <c r="X405" s="153"/>
      <c r="Y405" s="194"/>
    </row>
    <row r="406" spans="1:25" ht="21.95" customHeight="1" x14ac:dyDescent="0.2">
      <c r="A406" s="440" t="s">
        <v>3906</v>
      </c>
      <c r="B406" s="441" t="str">
        <f ca="1">SUBSTITUTE(CONFIG_SCORE_SUBHEADER_TEMPLATE,"[SCORE]",ROUND(B404,2))</f>
        <v>Estimated Score: 0</v>
      </c>
      <c r="C406" s="281"/>
      <c r="D406" s="281"/>
      <c r="E406" s="281"/>
      <c r="F406" s="281"/>
      <c r="G406" s="281"/>
      <c r="H406" s="215"/>
      <c r="I406" s="466"/>
      <c r="J406" s="467"/>
      <c r="K406" s="467"/>
      <c r="L406" s="467"/>
      <c r="M406" s="467"/>
      <c r="N406" s="467"/>
      <c r="O406" s="467"/>
      <c r="P406" s="467"/>
      <c r="Q406" s="468"/>
      <c r="R406" s="165" t="str">
        <f ca="1">G301</f>
        <v/>
      </c>
      <c r="S406" s="570"/>
      <c r="T406" s="571"/>
      <c r="U406" s="571"/>
      <c r="V406" s="571"/>
      <c r="W406" s="572"/>
      <c r="X406" s="165" t="str">
        <f ca="1">G304</f>
        <v/>
      </c>
      <c r="Y406" s="194"/>
    </row>
    <row r="407" spans="1:25" ht="21.95" customHeight="1" x14ac:dyDescent="0.2">
      <c r="A407" s="285" t="s">
        <v>3080</v>
      </c>
      <c r="B407" s="305" t="str">
        <f>C407&amp;" "&amp;B426</f>
        <v>Housing for Special Needs Populations (Maximum Points: 5)</v>
      </c>
      <c r="C407" s="287" t="s">
        <v>3824</v>
      </c>
      <c r="D407" s="287"/>
      <c r="E407" s="287"/>
      <c r="F407" s="287"/>
      <c r="G407" s="172" t="str">
        <f>B421</f>
        <v>Special Needs</v>
      </c>
      <c r="H407" s="215"/>
      <c r="I407" s="207" t="s">
        <v>3446</v>
      </c>
      <c r="J407" s="153"/>
      <c r="K407" s="215"/>
      <c r="L407" s="153"/>
      <c r="M407" s="215"/>
      <c r="N407" s="153"/>
      <c r="O407" s="215"/>
      <c r="P407" s="153"/>
      <c r="Q407" s="215"/>
      <c r="R407" s="153"/>
      <c r="S407" s="207" t="s">
        <v>2845</v>
      </c>
      <c r="T407" s="153"/>
      <c r="U407" s="215"/>
      <c r="V407" s="153"/>
      <c r="W407" s="215"/>
      <c r="X407" s="153"/>
      <c r="Y407" s="194"/>
    </row>
    <row r="408" spans="1:25" ht="21.95" customHeight="1" x14ac:dyDescent="0.2">
      <c r="A408" s="273" t="s">
        <v>3073</v>
      </c>
      <c r="B408" s="288" t="str">
        <f>IF(T525&lt;&gt;"",T525,"")</f>
        <v/>
      </c>
      <c r="C408" s="281">
        <f ca="1">VLOOKUP(A408,DB_TBL_DATA_FIELDS[[FIELD_ID]:[PCT_CALC_FIELD_STATUS_CODE]],22,FALSE)</f>
        <v>1</v>
      </c>
      <c r="D408" s="281" t="str">
        <f ca="1">IF(VLOOKUP(A408,DB_TBL_DATA_FIELDS[[FIELD_ID]:[ERROR_MESSAGE]],23,FALSE)&lt;&gt;0,VLOOKUP(A408,DB_TBL_DATA_FIELDS[[FIELD_ID]:[ERROR_MESSAGE]],23,FALSE),"")</f>
        <v/>
      </c>
      <c r="E408" s="281">
        <f>VLOOKUP(A408,DB_TBL_DATA_FIELDS[[#All],[FIELD_ID]:[RANGE_VALIDATION_MAX]],18,FALSE)</f>
        <v>0</v>
      </c>
      <c r="F408" s="281">
        <f>VLOOKUP(A408,DB_TBL_DATA_FIELDS[[#All],[FIELD_ID]:[RANGE_VALIDATION_MAX]],19,FALSE)</f>
        <v>999999999999</v>
      </c>
      <c r="G408" s="281">
        <f ca="1">IF(C408&lt;0,"",C408)</f>
        <v>1</v>
      </c>
      <c r="H408" s="215"/>
      <c r="I408" s="466"/>
      <c r="J408" s="467"/>
      <c r="K408" s="467"/>
      <c r="L408" s="467"/>
      <c r="M408" s="467"/>
      <c r="N408" s="467"/>
      <c r="O408" s="467"/>
      <c r="P408" s="467"/>
      <c r="Q408" s="468"/>
      <c r="R408" s="165" t="str">
        <f ca="1">G302</f>
        <v/>
      </c>
      <c r="S408" s="570"/>
      <c r="T408" s="571"/>
      <c r="U408" s="571"/>
      <c r="V408" s="571"/>
      <c r="W408" s="572"/>
      <c r="X408" s="165" t="str">
        <f ca="1">G303</f>
        <v/>
      </c>
      <c r="Y408" s="194"/>
    </row>
    <row r="409" spans="1:25" ht="21.95" customHeight="1" x14ac:dyDescent="0.2">
      <c r="A409" s="273" t="s">
        <v>3074</v>
      </c>
      <c r="B409" s="288" t="str">
        <f>IF(T526&lt;&gt;"",T526,"")</f>
        <v/>
      </c>
      <c r="C409" s="281">
        <f ca="1">VLOOKUP(A409,DB_TBL_DATA_FIELDS[[FIELD_ID]:[PCT_CALC_FIELD_STATUS_CODE]],22,FALSE)</f>
        <v>1</v>
      </c>
      <c r="D409" s="281" t="str">
        <f ca="1">IF(VLOOKUP(A409,DB_TBL_DATA_FIELDS[[FIELD_ID]:[ERROR_MESSAGE]],23,FALSE)&lt;&gt;0,VLOOKUP(A409,DB_TBL_DATA_FIELDS[[FIELD_ID]:[ERROR_MESSAGE]],23,FALSE),"")</f>
        <v/>
      </c>
      <c r="E409" s="281">
        <f>VLOOKUP(A409,DB_TBL_DATA_FIELDS[[#All],[FIELD_ID]:[RANGE_VALIDATION_MAX]],18,FALSE)</f>
        <v>0</v>
      </c>
      <c r="F409" s="281">
        <f>VLOOKUP(A409,DB_TBL_DATA_FIELDS[[#All],[FIELD_ID]:[RANGE_VALIDATION_MAX]],19,FALSE)</f>
        <v>999999999999</v>
      </c>
      <c r="G409" s="281">
        <f t="shared" ref="G409:G413" ca="1" si="44">IF(C409&lt;0,"",C409)</f>
        <v>1</v>
      </c>
      <c r="H409" s="215"/>
      <c r="I409" s="215"/>
      <c r="J409" s="153"/>
      <c r="K409" s="215"/>
      <c r="L409" s="153"/>
      <c r="M409" s="215"/>
      <c r="N409" s="153"/>
      <c r="O409" s="215"/>
      <c r="P409" s="153"/>
      <c r="Q409" s="215"/>
      <c r="R409" s="153"/>
      <c r="S409" s="215"/>
      <c r="T409" s="153"/>
      <c r="U409" s="215"/>
      <c r="V409" s="153"/>
      <c r="W409" s="215"/>
      <c r="X409" s="153"/>
      <c r="Y409" s="194"/>
    </row>
    <row r="410" spans="1:25" ht="21.95" customHeight="1" thickBot="1" x14ac:dyDescent="0.25">
      <c r="A410" s="273" t="s">
        <v>3075</v>
      </c>
      <c r="B410" s="288" t="str">
        <f>IF(T527&lt;&gt;"",T527,"")</f>
        <v/>
      </c>
      <c r="C410" s="281">
        <f ca="1">VLOOKUP(A410,DB_TBL_DATA_FIELDS[[FIELD_ID]:[PCT_CALC_FIELD_STATUS_CODE]],22,FALSE)</f>
        <v>1</v>
      </c>
      <c r="D410" s="281" t="str">
        <f ca="1">IF(VLOOKUP(A410,DB_TBL_DATA_FIELDS[[FIELD_ID]:[ERROR_MESSAGE]],23,FALSE)&lt;&gt;0,VLOOKUP(A410,DB_TBL_DATA_FIELDS[[FIELD_ID]:[ERROR_MESSAGE]],23,FALSE),"")</f>
        <v/>
      </c>
      <c r="E410" s="281">
        <f>VLOOKUP(A410,DB_TBL_DATA_FIELDS[[#All],[FIELD_ID]:[RANGE_VALIDATION_MAX]],18,FALSE)</f>
        <v>0</v>
      </c>
      <c r="F410" s="281">
        <f>VLOOKUP(A410,DB_TBL_DATA_FIELDS[[#All],[FIELD_ID]:[RANGE_VALIDATION_MAX]],19,FALSE)</f>
        <v>999999999999</v>
      </c>
      <c r="G410" s="281">
        <f t="shared" ca="1" si="44"/>
        <v>1</v>
      </c>
      <c r="H410" s="215"/>
      <c r="I410" s="216" t="s">
        <v>2846</v>
      </c>
      <c r="J410" s="217"/>
      <c r="K410" s="218"/>
      <c r="L410" s="217"/>
      <c r="M410" s="218"/>
      <c r="N410" s="217"/>
      <c r="O410" s="218"/>
      <c r="P410" s="217"/>
      <c r="Q410" s="218"/>
      <c r="R410" s="217"/>
      <c r="S410" s="218"/>
      <c r="T410" s="217"/>
      <c r="U410" s="218"/>
      <c r="V410" s="217"/>
      <c r="W410" s="218"/>
      <c r="X410" s="153"/>
      <c r="Y410" s="194"/>
    </row>
    <row r="411" spans="1:25" ht="21.95" customHeight="1" thickTop="1" x14ac:dyDescent="0.2">
      <c r="A411" s="273" t="s">
        <v>3076</v>
      </c>
      <c r="B411" s="288" t="str">
        <f>IF(T528&lt;&gt;"",T528,"")</f>
        <v/>
      </c>
      <c r="C411" s="281">
        <f ca="1">VLOOKUP(A411,DB_TBL_DATA_FIELDS[[FIELD_ID]:[PCT_CALC_FIELD_STATUS_CODE]],22,FALSE)</f>
        <v>1</v>
      </c>
      <c r="D411" s="281" t="str">
        <f ca="1">IF(VLOOKUP(A411,DB_TBL_DATA_FIELDS[[FIELD_ID]:[ERROR_MESSAGE]],23,FALSE)&lt;&gt;0,VLOOKUP(A411,DB_TBL_DATA_FIELDS[[FIELD_ID]:[ERROR_MESSAGE]],23,FALSE),"")</f>
        <v/>
      </c>
      <c r="E411" s="281">
        <f>VLOOKUP(A411,DB_TBL_DATA_FIELDS[[#All],[FIELD_ID]:[RANGE_VALIDATION_MAX]],18,FALSE)</f>
        <v>0</v>
      </c>
      <c r="F411" s="281">
        <f>VLOOKUP(A411,DB_TBL_DATA_FIELDS[[#All],[FIELD_ID]:[RANGE_VALIDATION_MAX]],19,FALSE)</f>
        <v>999999999999</v>
      </c>
      <c r="G411" s="281">
        <f t="shared" ca="1" si="44"/>
        <v>1</v>
      </c>
      <c r="H411" s="215"/>
      <c r="I411" s="535" t="str">
        <f ca="1">D305</f>
        <v/>
      </c>
      <c r="J411" s="536"/>
      <c r="K411" s="536"/>
      <c r="L411" s="536"/>
      <c r="M411" s="536"/>
      <c r="N411" s="536"/>
      <c r="O411" s="536"/>
      <c r="P411" s="536"/>
      <c r="Q411" s="536"/>
      <c r="R411" s="536"/>
      <c r="S411" s="536"/>
      <c r="T411" s="536"/>
      <c r="U411" s="536"/>
      <c r="V411" s="536"/>
      <c r="W411" s="536"/>
      <c r="X411" s="153"/>
      <c r="Y411" s="194"/>
    </row>
    <row r="412" spans="1:25" ht="21.95" customHeight="1" x14ac:dyDescent="0.2">
      <c r="A412" s="273" t="s">
        <v>3077</v>
      </c>
      <c r="B412" s="288" t="str">
        <f>IF(T529&lt;&gt;"",T529,"")</f>
        <v/>
      </c>
      <c r="C412" s="281">
        <f ca="1">VLOOKUP(A412,DB_TBL_DATA_FIELDS[[FIELD_ID]:[PCT_CALC_FIELD_STATUS_CODE]],22,FALSE)</f>
        <v>1</v>
      </c>
      <c r="D412" s="281" t="str">
        <f ca="1">IF(VLOOKUP(A412,DB_TBL_DATA_FIELDS[[FIELD_ID]:[ERROR_MESSAGE]],23,FALSE)&lt;&gt;0,VLOOKUP(A412,DB_TBL_DATA_FIELDS[[FIELD_ID]:[ERROR_MESSAGE]],23,FALSE),"")</f>
        <v/>
      </c>
      <c r="E412" s="281">
        <f>VLOOKUP(A412,DB_TBL_DATA_FIELDS[[#All],[FIELD_ID]:[RANGE_VALIDATION_MAX]],18,FALSE)</f>
        <v>0</v>
      </c>
      <c r="F412" s="281">
        <f>VLOOKUP(A412,DB_TBL_DATA_FIELDS[[#All],[FIELD_ID]:[RANGE_VALIDATION_MAX]],19,FALSE)</f>
        <v>999999999999</v>
      </c>
      <c r="G412" s="281">
        <f t="shared" ca="1" si="44"/>
        <v>1</v>
      </c>
      <c r="H412" s="215"/>
      <c r="I412" s="499" t="s">
        <v>2847</v>
      </c>
      <c r="J412" s="498"/>
      <c r="K412" s="498"/>
      <c r="L412" s="498"/>
      <c r="M412" s="498"/>
      <c r="N412" s="498"/>
      <c r="O412" s="498"/>
      <c r="P412" s="498"/>
      <c r="Q412" s="498"/>
      <c r="R412" s="498"/>
      <c r="S412" s="498"/>
      <c r="T412" s="498"/>
      <c r="U412" s="498"/>
      <c r="V412" s="204"/>
      <c r="W412" s="230"/>
      <c r="X412" s="165">
        <f ca="1">G305</f>
        <v>1</v>
      </c>
      <c r="Y412" s="194"/>
    </row>
    <row r="413" spans="1:25" ht="21.95" customHeight="1" x14ac:dyDescent="0.2">
      <c r="A413" s="273" t="s">
        <v>3078</v>
      </c>
      <c r="B413" s="296" t="str">
        <f ca="1">VLOOKUP(A413,'$DB.DATA'!D:H,5,FALSE)</f>
        <v/>
      </c>
      <c r="C413" s="281">
        <f ca="1">VLOOKUP(A413,DB_TBL_DATA_FIELDS[[FIELD_ID]:[PCT_CALC_FIELD_STATUS_CODE]],22,FALSE)</f>
        <v>-1</v>
      </c>
      <c r="D413" s="281" t="str">
        <f ca="1">IF(VLOOKUP(A413,DB_TBL_DATA_FIELDS[[FIELD_ID]:[ERROR_MESSAGE]],23,FALSE)&lt;&gt;0,VLOOKUP(A413,DB_TBL_DATA_FIELDS[[FIELD_ID]:[ERROR_MESSAGE]],23,FALSE),"")</f>
        <v/>
      </c>
      <c r="E413" s="281">
        <f>VLOOKUP(A413,DB_TBL_DATA_FIELDS[[#All],[FIELD_ID]:[RANGE_VALIDATION_MAX]],18,FALSE)</f>
        <v>0</v>
      </c>
      <c r="F413" s="281">
        <f>VLOOKUP(A413,DB_TBL_DATA_FIELDS[[#All],[FIELD_ID]:[RANGE_VALIDATION_MAX]],19,FALSE)</f>
        <v>999999999999</v>
      </c>
      <c r="G413" s="281" t="str">
        <f t="shared" ca="1" si="44"/>
        <v/>
      </c>
      <c r="H413" s="215"/>
      <c r="I413" s="243"/>
      <c r="J413" s="243"/>
      <c r="K413" s="243"/>
      <c r="L413" s="243"/>
      <c r="M413" s="243"/>
      <c r="N413" s="243"/>
      <c r="O413" s="243"/>
      <c r="P413" s="243"/>
      <c r="Q413" s="243"/>
      <c r="R413" s="243"/>
      <c r="S413" s="202"/>
      <c r="T413" s="244"/>
      <c r="U413" s="244"/>
      <c r="V413" s="244"/>
      <c r="W413" s="244"/>
      <c r="X413" s="153"/>
      <c r="Y413" s="194"/>
    </row>
    <row r="414" spans="1:25" ht="21.95" customHeight="1" x14ac:dyDescent="0.2">
      <c r="A414" s="290" t="s">
        <v>3081</v>
      </c>
      <c r="B414" s="282" t="str">
        <f>"C"&amp;MATCH(LEFT(A414,LEN(A414)-LEN("_RANGE")),A:A,0)+1&amp;":C"&amp;(ROW()-1)</f>
        <v>C408:C413</v>
      </c>
      <c r="C414" s="281"/>
      <c r="D414" s="281"/>
      <c r="E414" s="281"/>
      <c r="F414" s="281"/>
      <c r="G414" s="281"/>
      <c r="H414" s="215"/>
      <c r="I414" s="207" t="s">
        <v>2848</v>
      </c>
      <c r="J414" s="153"/>
      <c r="K414" s="215"/>
      <c r="L414" s="153"/>
      <c r="M414" s="215"/>
      <c r="N414" s="153"/>
      <c r="O414" s="215"/>
      <c r="P414" s="153"/>
      <c r="Q414" s="215"/>
      <c r="R414" s="153"/>
      <c r="S414" s="207" t="s">
        <v>3384</v>
      </c>
      <c r="T414" s="245"/>
      <c r="U414" s="245"/>
      <c r="V414" s="245"/>
      <c r="W414" s="245"/>
      <c r="X414" s="153"/>
      <c r="Y414" s="194"/>
    </row>
    <row r="415" spans="1:25" ht="21.95" customHeight="1" x14ac:dyDescent="0.2">
      <c r="A415" s="290" t="s">
        <v>3082</v>
      </c>
      <c r="B415" s="282">
        <f ca="1">COUNTIF(INDIRECT($B414),2)</f>
        <v>0</v>
      </c>
      <c r="C415" s="281"/>
      <c r="D415" s="281"/>
      <c r="E415" s="281"/>
      <c r="F415" s="281"/>
      <c r="G415" s="281"/>
      <c r="H415" s="215"/>
      <c r="I415" s="466"/>
      <c r="J415" s="467"/>
      <c r="K415" s="467"/>
      <c r="L415" s="467"/>
      <c r="M415" s="467"/>
      <c r="N415" s="467"/>
      <c r="O415" s="467"/>
      <c r="P415" s="467"/>
      <c r="Q415" s="468"/>
      <c r="R415" s="165" t="str">
        <f ca="1">G306</f>
        <v/>
      </c>
      <c r="S415" s="570"/>
      <c r="T415" s="571"/>
      <c r="U415" s="571"/>
      <c r="V415" s="571"/>
      <c r="W415" s="572"/>
      <c r="X415" s="165" t="str">
        <f ca="1">G309</f>
        <v/>
      </c>
      <c r="Y415" s="194"/>
    </row>
    <row r="416" spans="1:25" ht="21.95" customHeight="1" x14ac:dyDescent="0.2">
      <c r="A416" s="290" t="s">
        <v>3083</v>
      </c>
      <c r="B416" s="282">
        <f ca="1">COUNTIF(INDIRECT($B414),0)+COUNTIF(INDIRECT($B414),1)+COUNTIF(INDIRECT($B414),2)</f>
        <v>5</v>
      </c>
      <c r="C416" s="281"/>
      <c r="D416" s="281"/>
      <c r="E416" s="281"/>
      <c r="F416" s="281"/>
      <c r="G416" s="281"/>
      <c r="H416" s="215"/>
      <c r="I416" s="207" t="s">
        <v>3446</v>
      </c>
      <c r="J416" s="153"/>
      <c r="K416" s="215"/>
      <c r="L416" s="153"/>
      <c r="M416" s="215"/>
      <c r="N416" s="153"/>
      <c r="O416" s="215"/>
      <c r="P416" s="153"/>
      <c r="Q416" s="215"/>
      <c r="R416" s="153"/>
      <c r="S416" s="207" t="s">
        <v>2845</v>
      </c>
      <c r="T416" s="153"/>
      <c r="U416" s="215"/>
      <c r="V416" s="153"/>
      <c r="W416" s="215"/>
      <c r="X416" s="153"/>
      <c r="Y416" s="194"/>
    </row>
    <row r="417" spans="1:25" ht="21.95" customHeight="1" x14ac:dyDescent="0.2">
      <c r="A417" s="290" t="s">
        <v>3084</v>
      </c>
      <c r="B417" s="282">
        <f ca="1">COUNTIF(INDIRECT($B414),0)</f>
        <v>0</v>
      </c>
      <c r="C417" s="281" t="s">
        <v>2607</v>
      </c>
      <c r="D417" s="281"/>
      <c r="E417" s="281"/>
      <c r="F417" s="281"/>
      <c r="G417" s="281"/>
      <c r="H417" s="215"/>
      <c r="I417" s="466"/>
      <c r="J417" s="467"/>
      <c r="K417" s="467"/>
      <c r="L417" s="467"/>
      <c r="M417" s="467"/>
      <c r="N417" s="467"/>
      <c r="O417" s="467"/>
      <c r="P417" s="467"/>
      <c r="Q417" s="468"/>
      <c r="R417" s="165" t="str">
        <f ca="1">G307</f>
        <v/>
      </c>
      <c r="S417" s="570"/>
      <c r="T417" s="571"/>
      <c r="U417" s="571"/>
      <c r="V417" s="571"/>
      <c r="W417" s="572"/>
      <c r="X417" s="165" t="str">
        <f ca="1">G308</f>
        <v/>
      </c>
      <c r="Y417" s="194"/>
    </row>
    <row r="418" spans="1:25" ht="21.95" customHeight="1" x14ac:dyDescent="0.2">
      <c r="A418" s="290" t="s">
        <v>3085</v>
      </c>
      <c r="B418" s="291">
        <f ca="1">IFERROR(B415/B416,1.01)</f>
        <v>0</v>
      </c>
      <c r="C418" s="281"/>
      <c r="D418" s="281"/>
      <c r="E418" s="281"/>
      <c r="F418" s="281"/>
      <c r="G418" s="281"/>
      <c r="H418" s="215"/>
      <c r="I418" s="194"/>
      <c r="J418" s="153"/>
      <c r="K418" s="194"/>
      <c r="L418" s="153"/>
      <c r="M418" s="194"/>
      <c r="N418" s="153"/>
      <c r="O418" s="194"/>
      <c r="P418" s="153"/>
      <c r="Q418" s="194"/>
      <c r="R418" s="153"/>
      <c r="S418" s="194"/>
      <c r="T418" s="153"/>
      <c r="U418" s="194"/>
      <c r="V418" s="153"/>
      <c r="W418" s="194"/>
      <c r="X418" s="153"/>
      <c r="Y418" s="194"/>
    </row>
    <row r="419" spans="1:25" ht="21.95" customHeight="1" thickBot="1" x14ac:dyDescent="0.25">
      <c r="A419" s="290" t="s">
        <v>3086</v>
      </c>
      <c r="B419" s="292" t="str">
        <f ca="1">IF(B417&gt;0,"Data Error(s)",IF(B418=0,"Not Started",IF(B418&lt;1,ROUNDUP(B418*100,0)&amp;"% Done",IF(B418&gt;1,"Optional","Complete"))))</f>
        <v>Not Started</v>
      </c>
      <c r="C419" s="281"/>
      <c r="D419" s="281"/>
      <c r="E419" s="281"/>
      <c r="F419" s="281"/>
      <c r="G419" s="281"/>
      <c r="H419" s="215"/>
      <c r="I419" s="216" t="s">
        <v>2864</v>
      </c>
      <c r="J419" s="217"/>
      <c r="K419" s="223"/>
      <c r="L419" s="217"/>
      <c r="M419" s="223"/>
      <c r="N419" s="217"/>
      <c r="O419" s="223"/>
      <c r="P419" s="217"/>
      <c r="Q419" s="223"/>
      <c r="R419" s="217"/>
      <c r="S419" s="223"/>
      <c r="T419" s="217"/>
      <c r="U419" s="223"/>
      <c r="V419" s="217"/>
      <c r="W419" s="246"/>
      <c r="X419" s="153"/>
      <c r="Y419" s="194"/>
    </row>
    <row r="420" spans="1:25" ht="21.95" customHeight="1" thickTop="1" x14ac:dyDescent="0.2">
      <c r="A420" s="290" t="s">
        <v>3087</v>
      </c>
      <c r="B420" s="282" t="str">
        <f ca="1">IF(B417&gt;0,0,IF(B418&lt;1,"",2))</f>
        <v/>
      </c>
      <c r="C420" s="281"/>
      <c r="D420" s="281"/>
      <c r="E420" s="281"/>
      <c r="F420" s="281"/>
      <c r="G420" s="281"/>
      <c r="H420" s="215"/>
      <c r="I420" s="535" t="str">
        <f ca="1">D310</f>
        <v/>
      </c>
      <c r="J420" s="536"/>
      <c r="K420" s="536"/>
      <c r="L420" s="536"/>
      <c r="M420" s="536"/>
      <c r="N420" s="536"/>
      <c r="O420" s="536"/>
      <c r="P420" s="536"/>
      <c r="Q420" s="536"/>
      <c r="R420" s="536"/>
      <c r="S420" s="536"/>
      <c r="T420" s="536"/>
      <c r="U420" s="536"/>
      <c r="V420" s="536"/>
      <c r="W420" s="536"/>
      <c r="X420" s="153"/>
      <c r="Y420" s="194"/>
    </row>
    <row r="421" spans="1:25" ht="21.95" customHeight="1" x14ac:dyDescent="0.2">
      <c r="A421" s="290" t="s">
        <v>3088</v>
      </c>
      <c r="B421" s="293" t="s">
        <v>3079</v>
      </c>
      <c r="C421" s="281"/>
      <c r="D421" s="281"/>
      <c r="E421" s="281"/>
      <c r="F421" s="281"/>
      <c r="G421" s="281"/>
      <c r="H421" s="215"/>
      <c r="I421" s="499" t="s">
        <v>2849</v>
      </c>
      <c r="J421" s="498"/>
      <c r="K421" s="498"/>
      <c r="L421" s="498"/>
      <c r="M421" s="498"/>
      <c r="N421" s="498"/>
      <c r="O421" s="498"/>
      <c r="P421" s="498"/>
      <c r="Q421" s="498"/>
      <c r="R421" s="498"/>
      <c r="S421" s="498"/>
      <c r="T421" s="498"/>
      <c r="U421" s="498"/>
      <c r="V421" s="204"/>
      <c r="W421" s="230"/>
      <c r="X421" s="165">
        <f ca="1">G310</f>
        <v>1</v>
      </c>
      <c r="Y421" s="194"/>
    </row>
    <row r="422" spans="1:25" ht="21.95" customHeight="1" x14ac:dyDescent="0.2">
      <c r="A422" s="294" t="s">
        <v>3089</v>
      </c>
      <c r="B422" s="300">
        <v>0</v>
      </c>
      <c r="C422" s="281" t="s">
        <v>2462</v>
      </c>
      <c r="D422" s="281"/>
      <c r="E422" s="281"/>
      <c r="F422" s="281"/>
      <c r="G422" s="281"/>
      <c r="H422" s="215"/>
      <c r="I422" s="207"/>
      <c r="J422" s="207"/>
      <c r="K422" s="207"/>
      <c r="L422" s="207"/>
      <c r="M422" s="207"/>
      <c r="N422" s="207"/>
      <c r="O422" s="207"/>
      <c r="P422" s="153"/>
      <c r="Q422" s="243"/>
      <c r="R422" s="243"/>
      <c r="S422" s="243"/>
      <c r="T422" s="258"/>
      <c r="U422" s="202"/>
      <c r="V422" s="150"/>
      <c r="W422" s="150"/>
      <c r="X422" s="202"/>
      <c r="Y422" s="194"/>
    </row>
    <row r="423" spans="1:25" ht="21.95" customHeight="1" x14ac:dyDescent="0.2">
      <c r="A423" s="294" t="s">
        <v>3090</v>
      </c>
      <c r="B423" s="282" t="b">
        <f>(B422&gt;0)</f>
        <v>0</v>
      </c>
      <c r="C423" s="281"/>
      <c r="D423" s="281"/>
      <c r="E423" s="281"/>
      <c r="F423" s="281"/>
      <c r="G423" s="281"/>
      <c r="H423" s="215"/>
      <c r="I423" s="207" t="s">
        <v>2850</v>
      </c>
      <c r="J423" s="153"/>
      <c r="K423" s="215"/>
      <c r="L423" s="153"/>
      <c r="M423" s="215"/>
      <c r="N423" s="153"/>
      <c r="O423" s="215"/>
      <c r="P423" s="153"/>
      <c r="Q423" s="705" t="s">
        <v>2852</v>
      </c>
      <c r="R423" s="706"/>
      <c r="S423" s="706"/>
      <c r="T423" s="153"/>
      <c r="U423" s="735" t="s">
        <v>3447</v>
      </c>
      <c r="V423" s="736"/>
      <c r="W423" s="736"/>
      <c r="X423" s="251" t="str">
        <f ca="1">IF($C$332=1,1,"")</f>
        <v/>
      </c>
      <c r="Y423" s="194"/>
    </row>
    <row r="424" spans="1:25" ht="21.95" customHeight="1" x14ac:dyDescent="0.2">
      <c r="A424" s="440" t="s">
        <v>3899</v>
      </c>
      <c r="B424" s="282">
        <v>5</v>
      </c>
      <c r="C424" s="281"/>
      <c r="D424" s="281"/>
      <c r="E424" s="281"/>
      <c r="F424" s="281"/>
      <c r="G424" s="281"/>
      <c r="H424" s="215"/>
      <c r="I424" s="466"/>
      <c r="J424" s="467"/>
      <c r="K424" s="467"/>
      <c r="L424" s="467"/>
      <c r="M424" s="467"/>
      <c r="N424" s="467"/>
      <c r="O424" s="468"/>
      <c r="P424" s="165" t="str">
        <f ca="1">G311</f>
        <v/>
      </c>
      <c r="Q424" s="532"/>
      <c r="R424" s="533"/>
      <c r="S424" s="534"/>
      <c r="T424" s="165" t="str">
        <f ca="1">G315</f>
        <v/>
      </c>
      <c r="U424" s="532"/>
      <c r="V424" s="533"/>
      <c r="W424" s="534"/>
      <c r="X424" s="165" t="str">
        <f ca="1">G316</f>
        <v/>
      </c>
      <c r="Y424" s="194"/>
    </row>
    <row r="425" spans="1:25" ht="21.95" customHeight="1" x14ac:dyDescent="0.2">
      <c r="A425" s="440" t="s">
        <v>3900</v>
      </c>
      <c r="B425" s="282">
        <f ca="1">DATA_SCORE_SPECIALNEEDS_FINAL</f>
        <v>0</v>
      </c>
      <c r="C425" s="281"/>
      <c r="D425" s="281"/>
      <c r="E425" s="281"/>
      <c r="F425" s="281"/>
      <c r="G425" s="281"/>
      <c r="H425" s="215"/>
      <c r="I425" s="207" t="s">
        <v>3384</v>
      </c>
      <c r="J425" s="153"/>
      <c r="K425" s="215"/>
      <c r="L425" s="153"/>
      <c r="M425" s="215"/>
      <c r="N425" s="153"/>
      <c r="O425" s="207" t="s">
        <v>3448</v>
      </c>
      <c r="P425" s="153"/>
      <c r="Q425" s="215"/>
      <c r="R425" s="153"/>
      <c r="S425" s="215"/>
      <c r="T425" s="153"/>
      <c r="U425" s="204" t="s">
        <v>2851</v>
      </c>
      <c r="V425" s="153"/>
      <c r="W425" s="215"/>
      <c r="X425" s="153"/>
      <c r="Y425" s="194"/>
    </row>
    <row r="426" spans="1:25" ht="21.95" customHeight="1" x14ac:dyDescent="0.2">
      <c r="A426" s="440" t="s">
        <v>3901</v>
      </c>
      <c r="B426" s="282" t="str">
        <f>SUBSTITUTE(CONFIG_POINT_HEADER_TEMPLATE,"[MAX]",B424)</f>
        <v>(Maximum Points: 5)</v>
      </c>
      <c r="C426" s="281"/>
      <c r="D426" s="281"/>
      <c r="E426" s="281"/>
      <c r="F426" s="281"/>
      <c r="G426" s="281"/>
      <c r="H426" s="215"/>
      <c r="I426" s="570"/>
      <c r="J426" s="571"/>
      <c r="K426" s="571"/>
      <c r="L426" s="571"/>
      <c r="M426" s="572"/>
      <c r="N426" s="165" t="str">
        <f ca="1">G314</f>
        <v/>
      </c>
      <c r="O426" s="570"/>
      <c r="P426" s="571"/>
      <c r="Q426" s="571"/>
      <c r="R426" s="571"/>
      <c r="S426" s="572"/>
      <c r="T426" s="165" t="str">
        <f ca="1">G312</f>
        <v/>
      </c>
      <c r="U426" s="578" t="str">
        <f ca="1">IF(B313&lt;&gt;"",B313,"")</f>
        <v/>
      </c>
      <c r="V426" s="579"/>
      <c r="W426" s="580"/>
      <c r="X426" s="165" t="str">
        <f ca="1">G313</f>
        <v/>
      </c>
      <c r="Y426" s="194"/>
    </row>
    <row r="427" spans="1:25" ht="21.95" customHeight="1" x14ac:dyDescent="0.2">
      <c r="A427" s="440" t="s">
        <v>3902</v>
      </c>
      <c r="B427" s="441" t="str">
        <f ca="1">SUBSTITUTE(CONFIG_SCORE_SUBHEADER_TEMPLATE,"[SCORE]",ROUND(B425,2))</f>
        <v>Estimated Score: 0</v>
      </c>
      <c r="C427" s="281"/>
      <c r="D427" s="281"/>
      <c r="E427" s="281"/>
      <c r="F427" s="281"/>
      <c r="G427" s="281"/>
      <c r="H427" s="215"/>
      <c r="I427" s="215"/>
      <c r="J427" s="153"/>
      <c r="K427" s="215"/>
      <c r="L427" s="153"/>
      <c r="M427" s="215"/>
      <c r="N427" s="153"/>
      <c r="O427" s="215"/>
      <c r="P427" s="153"/>
      <c r="Q427" s="194"/>
      <c r="R427" s="153"/>
      <c r="S427" s="194"/>
      <c r="T427" s="153"/>
      <c r="U427" s="194"/>
      <c r="V427" s="153"/>
      <c r="W427" s="194"/>
      <c r="X427" s="153"/>
      <c r="Y427" s="194"/>
    </row>
    <row r="428" spans="1:25" ht="21.95" customHeight="1" x14ac:dyDescent="0.2">
      <c r="A428" s="285" t="s">
        <v>3104</v>
      </c>
      <c r="B428" s="305" t="str">
        <f>C428&amp;" "&amp;B443</f>
        <v>Housing in Rural Areas (Maximum Points: 5)</v>
      </c>
      <c r="C428" s="287" t="s">
        <v>3823</v>
      </c>
      <c r="D428" s="287"/>
      <c r="E428" s="287"/>
      <c r="F428" s="287"/>
      <c r="G428" s="172" t="str">
        <f>B438</f>
        <v>Rural</v>
      </c>
      <c r="H428" s="215"/>
      <c r="I428" s="573" t="s">
        <v>3449</v>
      </c>
      <c r="J428" s="574"/>
      <c r="K428" s="574"/>
      <c r="L428" s="574"/>
      <c r="M428" s="574"/>
      <c r="N428" s="574"/>
      <c r="O428" s="574"/>
      <c r="P428" s="574"/>
      <c r="Q428" s="574"/>
      <c r="R428" s="574"/>
      <c r="S428" s="574"/>
      <c r="T428" s="574"/>
      <c r="U428" s="574"/>
      <c r="V428" s="574"/>
      <c r="W428" s="574"/>
      <c r="X428" s="153"/>
      <c r="Y428" s="194"/>
    </row>
    <row r="429" spans="1:25" ht="21.95" customHeight="1" x14ac:dyDescent="0.2">
      <c r="A429" s="273" t="s">
        <v>3097</v>
      </c>
      <c r="B429" s="288" t="str">
        <f>IF(I547&lt;&gt;"",I547,"")</f>
        <v/>
      </c>
      <c r="C429" s="281">
        <f ca="1">VLOOKUP(A429,DB_TBL_DATA_FIELDS[[FIELD_ID]:[PCT_CALC_FIELD_STATUS_CODE]],22,FALSE)</f>
        <v>1</v>
      </c>
      <c r="D429" s="281" t="str">
        <f ca="1">IF(VLOOKUP(A429,DB_TBL_DATA_FIELDS[[FIELD_ID]:[ERROR_MESSAGE]],23,FALSE)&lt;&gt;0,VLOOKUP(A429,DB_TBL_DATA_FIELDS[[FIELD_ID]:[ERROR_MESSAGE]],23,FALSE),"")</f>
        <v/>
      </c>
      <c r="E429" s="281">
        <f>VLOOKUP(A429,DB_TBL_DATA_FIELDS[[#All],[FIELD_ID]:[RANGE_VALIDATION_MAX]],18,FALSE)</f>
        <v>0</v>
      </c>
      <c r="F429" s="281">
        <f>VLOOKUP(A429,DB_TBL_DATA_FIELDS[[#All],[FIELD_ID]:[RANGE_VALIDATION_MAX]],19,FALSE)</f>
        <v>999999999999</v>
      </c>
      <c r="G429" s="281">
        <f ca="1">IF(C429&lt;0,"",C429)</f>
        <v>1</v>
      </c>
      <c r="H429" s="215"/>
      <c r="I429" s="574"/>
      <c r="J429" s="574"/>
      <c r="K429" s="574"/>
      <c r="L429" s="574"/>
      <c r="M429" s="574"/>
      <c r="N429" s="574"/>
      <c r="O429" s="574"/>
      <c r="P429" s="574"/>
      <c r="Q429" s="574"/>
      <c r="R429" s="574"/>
      <c r="S429" s="574"/>
      <c r="T429" s="574"/>
      <c r="U429" s="574"/>
      <c r="V429" s="574"/>
      <c r="W429" s="574"/>
      <c r="X429" s="153"/>
      <c r="Y429" s="194"/>
    </row>
    <row r="430" spans="1:25" ht="21.95" customHeight="1" x14ac:dyDescent="0.2">
      <c r="A430" s="273" t="s">
        <v>3098</v>
      </c>
      <c r="B430" s="288" t="str">
        <f>IF(M547&lt;&gt;"",M547,"")</f>
        <v/>
      </c>
      <c r="C430" s="281">
        <f ca="1">VLOOKUP(A430,DB_TBL_DATA_FIELDS[[FIELD_ID]:[PCT_CALC_FIELD_STATUS_CODE]],22,FALSE)</f>
        <v>-1</v>
      </c>
      <c r="D430" s="281" t="str">
        <f>IF(VLOOKUP(A430,DB_TBL_DATA_FIELDS[[FIELD_ID]:[ERROR_MESSAGE]],23,FALSE)&lt;&gt;0,VLOOKUP(A430,DB_TBL_DATA_FIELDS[[FIELD_ID]:[ERROR_MESSAGE]],23,FALSE),"")</f>
        <v/>
      </c>
      <c r="E430" s="281">
        <f>VLOOKUP(A430,DB_TBL_DATA_FIELDS[[#All],[FIELD_ID]:[RANGE_VALIDATION_MAX]],18,FALSE)</f>
        <v>0</v>
      </c>
      <c r="F430" s="281">
        <f>VLOOKUP(A430,DB_TBL_DATA_FIELDS[[#All],[FIELD_ID]:[RANGE_VALIDATION_MAX]],19,FALSE)</f>
        <v>250</v>
      </c>
      <c r="G430" s="281" t="str">
        <f t="shared" ref="G430" ca="1" si="45">IF(C430&lt;0,"",C430)</f>
        <v/>
      </c>
      <c r="H430" s="215"/>
      <c r="I430" s="215"/>
      <c r="J430" s="153"/>
      <c r="K430" s="215"/>
      <c r="L430" s="153"/>
      <c r="M430" s="215"/>
      <c r="N430" s="153"/>
      <c r="O430" s="215"/>
      <c r="P430" s="153"/>
      <c r="Q430" s="194"/>
      <c r="R430" s="153"/>
      <c r="S430" s="194"/>
      <c r="T430" s="153"/>
      <c r="U430" s="194"/>
      <c r="V430" s="153"/>
      <c r="W430" s="194"/>
      <c r="X430" s="153"/>
      <c r="Y430" s="194"/>
    </row>
    <row r="431" spans="1:25" ht="21.95" customHeight="1" thickBot="1" x14ac:dyDescent="0.25">
      <c r="A431" s="290" t="s">
        <v>3105</v>
      </c>
      <c r="B431" s="282" t="str">
        <f>"C"&amp;MATCH(LEFT(A431,LEN(A431)-LEN("_RANGE")),A:A,0)+1&amp;":C"&amp;(ROW()-1)</f>
        <v>C429:C430</v>
      </c>
      <c r="C431" s="281"/>
      <c r="D431" s="281"/>
      <c r="E431" s="281"/>
      <c r="F431" s="281"/>
      <c r="G431" s="281"/>
      <c r="H431" s="215"/>
      <c r="I431" s="216" t="s">
        <v>3450</v>
      </c>
      <c r="J431" s="217"/>
      <c r="K431" s="218"/>
      <c r="L431" s="217"/>
      <c r="M431" s="218"/>
      <c r="N431" s="217"/>
      <c r="O431" s="218"/>
      <c r="P431" s="217"/>
      <c r="Q431" s="218"/>
      <c r="R431" s="217"/>
      <c r="S431" s="218"/>
      <c r="T431" s="217"/>
      <c r="U431" s="218"/>
      <c r="V431" s="217"/>
      <c r="W431" s="223"/>
      <c r="X431" s="153"/>
      <c r="Y431" s="194"/>
    </row>
    <row r="432" spans="1:25" ht="21.95" customHeight="1" thickTop="1" x14ac:dyDescent="0.2">
      <c r="A432" s="290" t="s">
        <v>3106</v>
      </c>
      <c r="B432" s="282">
        <f ca="1">COUNTIF(INDIRECT($B431),2)</f>
        <v>0</v>
      </c>
      <c r="C432" s="281"/>
      <c r="D432" s="281"/>
      <c r="E432" s="281"/>
      <c r="F432" s="281"/>
      <c r="G432" s="281"/>
      <c r="H432" s="215"/>
      <c r="I432" s="141"/>
      <c r="J432" s="153"/>
      <c r="K432" s="215"/>
      <c r="L432" s="153"/>
      <c r="M432" s="215"/>
      <c r="N432" s="153"/>
      <c r="O432" s="215"/>
      <c r="P432" s="153"/>
      <c r="Q432" s="215"/>
      <c r="R432" s="153"/>
      <c r="S432" s="215"/>
      <c r="T432" s="153"/>
      <c r="U432" s="215"/>
      <c r="V432" s="153"/>
      <c r="W432" s="194"/>
      <c r="X432" s="153"/>
      <c r="Y432" s="194"/>
    </row>
    <row r="433" spans="1:25" ht="21.95" customHeight="1" x14ac:dyDescent="0.2">
      <c r="A433" s="290" t="s">
        <v>3107</v>
      </c>
      <c r="B433" s="282">
        <f ca="1">COUNTIF(INDIRECT($B431),0)+COUNTIF(INDIRECT($B431),1)+COUNTIF(INDIRECT($B431),2)</f>
        <v>1</v>
      </c>
      <c r="C433" s="281"/>
      <c r="D433" s="281"/>
      <c r="E433" s="281"/>
      <c r="F433" s="281"/>
      <c r="G433" s="281"/>
      <c r="H433" s="215"/>
      <c r="I433" s="226" t="s">
        <v>2853</v>
      </c>
      <c r="J433" s="153"/>
      <c r="K433" s="194"/>
      <c r="L433" s="153"/>
      <c r="M433" s="194"/>
      <c r="N433" s="153"/>
      <c r="O433" s="194"/>
      <c r="P433" s="153"/>
      <c r="Q433" s="194"/>
      <c r="R433" s="153"/>
      <c r="S433" s="194"/>
      <c r="T433" s="153"/>
      <c r="U433" s="194"/>
      <c r="V433" s="153"/>
      <c r="W433" s="212"/>
      <c r="X433" s="165" t="str">
        <f t="shared" ref="X433:X438" ca="1" si="46">G318</f>
        <v/>
      </c>
      <c r="Y433" s="194"/>
    </row>
    <row r="434" spans="1:25" ht="21.95" customHeight="1" x14ac:dyDescent="0.2">
      <c r="A434" s="290" t="s">
        <v>3108</v>
      </c>
      <c r="B434" s="282">
        <f ca="1">COUNTIF(INDIRECT($B431),0)</f>
        <v>0</v>
      </c>
      <c r="C434" s="281" t="s">
        <v>2607</v>
      </c>
      <c r="D434" s="281"/>
      <c r="E434" s="281"/>
      <c r="F434" s="281"/>
      <c r="G434" s="281"/>
      <c r="H434" s="215"/>
      <c r="I434" s="226" t="s">
        <v>2854</v>
      </c>
      <c r="J434" s="153"/>
      <c r="K434" s="194"/>
      <c r="L434" s="153"/>
      <c r="M434" s="194"/>
      <c r="N434" s="153"/>
      <c r="O434" s="194"/>
      <c r="P434" s="153"/>
      <c r="Q434" s="194"/>
      <c r="R434" s="153"/>
      <c r="S434" s="194"/>
      <c r="T434" s="153"/>
      <c r="U434" s="194"/>
      <c r="V434" s="153"/>
      <c r="W434" s="212"/>
      <c r="X434" s="165" t="str">
        <f t="shared" ca="1" si="46"/>
        <v/>
      </c>
      <c r="Y434" s="194"/>
    </row>
    <row r="435" spans="1:25" ht="21.95" customHeight="1" x14ac:dyDescent="0.2">
      <c r="A435" s="290" t="s">
        <v>3109</v>
      </c>
      <c r="B435" s="291">
        <f ca="1">IFERROR(B432/B433,1.01)</f>
        <v>0</v>
      </c>
      <c r="C435" s="281"/>
      <c r="D435" s="281"/>
      <c r="E435" s="281"/>
      <c r="F435" s="281"/>
      <c r="G435" s="281"/>
      <c r="H435" s="215"/>
      <c r="I435" s="226" t="s">
        <v>2855</v>
      </c>
      <c r="J435" s="153"/>
      <c r="K435" s="194"/>
      <c r="L435" s="153"/>
      <c r="M435" s="194"/>
      <c r="N435" s="153"/>
      <c r="O435" s="194"/>
      <c r="P435" s="153"/>
      <c r="Q435" s="194"/>
      <c r="R435" s="153"/>
      <c r="S435" s="194"/>
      <c r="T435" s="153"/>
      <c r="U435" s="194"/>
      <c r="V435" s="153"/>
      <c r="W435" s="212"/>
      <c r="X435" s="165" t="str">
        <f t="shared" ca="1" si="46"/>
        <v/>
      </c>
      <c r="Y435" s="194"/>
    </row>
    <row r="436" spans="1:25" ht="21.95" customHeight="1" x14ac:dyDescent="0.2">
      <c r="A436" s="290" t="s">
        <v>3110</v>
      </c>
      <c r="B436" s="292" t="str">
        <f ca="1">IF(B434&gt;0,"Data Error(s)",IF(B435=0,"Not Started",IF(B435&lt;1,ROUNDUP(B435*100,0)&amp;"% Done",IF(B435&gt;1,"Optional","Complete"))))</f>
        <v>Not Started</v>
      </c>
      <c r="C436" s="281"/>
      <c r="D436" s="281"/>
      <c r="E436" s="281"/>
      <c r="F436" s="281"/>
      <c r="G436" s="281"/>
      <c r="H436" s="215"/>
      <c r="I436" s="226" t="s">
        <v>2856</v>
      </c>
      <c r="J436" s="153"/>
      <c r="K436" s="194"/>
      <c r="L436" s="153"/>
      <c r="M436" s="194"/>
      <c r="N436" s="153"/>
      <c r="O436" s="194"/>
      <c r="P436" s="153"/>
      <c r="Q436" s="194"/>
      <c r="R436" s="153"/>
      <c r="S436" s="194"/>
      <c r="T436" s="153"/>
      <c r="U436" s="194"/>
      <c r="V436" s="153"/>
      <c r="W436" s="212"/>
      <c r="X436" s="165" t="str">
        <f t="shared" ca="1" si="46"/>
        <v/>
      </c>
      <c r="Y436" s="194"/>
    </row>
    <row r="437" spans="1:25" ht="21.95" customHeight="1" x14ac:dyDescent="0.2">
      <c r="A437" s="290" t="s">
        <v>3111</v>
      </c>
      <c r="B437" s="282" t="str">
        <f ca="1">IF(B434&gt;0,0,IF(B435&lt;1,"",2))</f>
        <v/>
      </c>
      <c r="C437" s="281"/>
      <c r="D437" s="281"/>
      <c r="E437" s="281"/>
      <c r="F437" s="281"/>
      <c r="G437" s="281"/>
      <c r="H437" s="215"/>
      <c r="I437" s="226" t="s">
        <v>2857</v>
      </c>
      <c r="J437" s="153"/>
      <c r="K437" s="194"/>
      <c r="L437" s="153"/>
      <c r="M437" s="194"/>
      <c r="N437" s="153"/>
      <c r="O437" s="194"/>
      <c r="P437" s="153"/>
      <c r="Q437" s="194"/>
      <c r="R437" s="153"/>
      <c r="S437" s="194"/>
      <c r="T437" s="153"/>
      <c r="U437" s="194"/>
      <c r="V437" s="153"/>
      <c r="W437" s="212"/>
      <c r="X437" s="165" t="str">
        <f t="shared" ca="1" si="46"/>
        <v/>
      </c>
      <c r="Y437" s="194"/>
    </row>
    <row r="438" spans="1:25" ht="21.95" customHeight="1" x14ac:dyDescent="0.2">
      <c r="A438" s="290" t="s">
        <v>3112</v>
      </c>
      <c r="B438" s="293" t="s">
        <v>3103</v>
      </c>
      <c r="C438" s="281"/>
      <c r="D438" s="281"/>
      <c r="E438" s="281"/>
      <c r="F438" s="281"/>
      <c r="G438" s="281"/>
      <c r="H438" s="215"/>
      <c r="I438" s="226" t="s">
        <v>2858</v>
      </c>
      <c r="J438" s="153"/>
      <c r="K438" s="194"/>
      <c r="L438" s="153"/>
      <c r="M438" s="194"/>
      <c r="N438" s="153"/>
      <c r="O438" s="194"/>
      <c r="P438" s="153"/>
      <c r="Q438" s="194"/>
      <c r="R438" s="153"/>
      <c r="S438" s="194"/>
      <c r="T438" s="153"/>
      <c r="U438" s="194"/>
      <c r="V438" s="153"/>
      <c r="W438" s="212"/>
      <c r="X438" s="165" t="str">
        <f t="shared" ca="1" si="46"/>
        <v/>
      </c>
      <c r="Y438" s="194"/>
    </row>
    <row r="439" spans="1:25" ht="21.95" customHeight="1" x14ac:dyDescent="0.2">
      <c r="A439" s="294" t="s">
        <v>3113</v>
      </c>
      <c r="B439" s="282">
        <v>0</v>
      </c>
      <c r="C439" s="281" t="s">
        <v>2462</v>
      </c>
      <c r="D439" s="281"/>
      <c r="E439" s="281"/>
      <c r="F439" s="281"/>
      <c r="G439" s="281"/>
      <c r="H439" s="215"/>
      <c r="I439" s="194"/>
      <c r="J439" s="153"/>
      <c r="K439" s="194"/>
      <c r="L439" s="153"/>
      <c r="M439" s="194"/>
      <c r="N439" s="153"/>
      <c r="O439" s="194"/>
      <c r="P439" s="153"/>
      <c r="Q439" s="194"/>
      <c r="R439" s="153"/>
      <c r="S439" s="194"/>
      <c r="T439" s="153"/>
      <c r="U439" s="194"/>
      <c r="V439" s="153"/>
      <c r="W439" s="194"/>
      <c r="X439" s="153"/>
      <c r="Y439" s="194"/>
    </row>
    <row r="440" spans="1:25" ht="21.95" customHeight="1" thickBot="1" x14ac:dyDescent="0.25">
      <c r="A440" s="294" t="s">
        <v>3114</v>
      </c>
      <c r="B440" s="282" t="b">
        <f>(B439&gt;0)</f>
        <v>0</v>
      </c>
      <c r="C440" s="281"/>
      <c r="D440" s="281"/>
      <c r="E440" s="281"/>
      <c r="F440" s="281"/>
      <c r="G440" s="281"/>
      <c r="H440" s="215"/>
      <c r="I440" s="424" t="str">
        <f>B339</f>
        <v>Sponsorship by a Not-For-Profit Organization or Government Entity (Maximum Points: 7)</v>
      </c>
      <c r="J440" s="269"/>
      <c r="K440" s="269"/>
      <c r="L440" s="269"/>
      <c r="M440" s="269"/>
      <c r="N440" s="269"/>
      <c r="O440" s="269"/>
      <c r="P440" s="269"/>
      <c r="Q440" s="269"/>
      <c r="R440" s="269"/>
      <c r="S440" s="269"/>
      <c r="T440" s="269"/>
      <c r="U440" s="269"/>
      <c r="V440" s="269"/>
      <c r="W440" s="269"/>
      <c r="X440" s="167" t="str">
        <f ca="1">"Status: "&amp;$B$357</f>
        <v>Status: Not Started</v>
      </c>
      <c r="Y440" s="194"/>
    </row>
    <row r="441" spans="1:25" ht="21.95" customHeight="1" x14ac:dyDescent="0.2">
      <c r="A441" s="440" t="s">
        <v>3895</v>
      </c>
      <c r="B441" s="282">
        <v>5</v>
      </c>
      <c r="C441" s="281"/>
      <c r="D441" s="281"/>
      <c r="E441" s="281"/>
      <c r="F441" s="281"/>
      <c r="G441" s="281"/>
      <c r="H441" s="215"/>
      <c r="I441" s="194"/>
      <c r="J441" s="153"/>
      <c r="K441" s="194"/>
      <c r="L441" s="153"/>
      <c r="M441" s="194"/>
      <c r="N441" s="153"/>
      <c r="O441" s="194"/>
      <c r="P441" s="153"/>
      <c r="Q441" s="194"/>
      <c r="R441" s="153"/>
      <c r="S441" s="194"/>
      <c r="T441" s="153"/>
      <c r="U441" s="194"/>
      <c r="V441" s="153"/>
      <c r="W441" s="194"/>
      <c r="X441" s="153"/>
      <c r="Y441" s="194"/>
    </row>
    <row r="442" spans="1:25" ht="21.95" customHeight="1" x14ac:dyDescent="0.2">
      <c r="A442" s="440" t="s">
        <v>3896</v>
      </c>
      <c r="B442" s="282">
        <f ca="1">DATA_SCORE_RURAL_FINAL</f>
        <v>0</v>
      </c>
      <c r="C442" s="281"/>
      <c r="D442" s="281"/>
      <c r="E442" s="281"/>
      <c r="F442" s="281"/>
      <c r="G442" s="281"/>
      <c r="H442" s="215"/>
      <c r="I442" s="742" t="s">
        <v>3679</v>
      </c>
      <c r="J442" s="742"/>
      <c r="K442" s="742"/>
      <c r="L442" s="742"/>
      <c r="M442" s="742"/>
      <c r="N442" s="742"/>
      <c r="O442" s="742"/>
      <c r="P442" s="742"/>
      <c r="Q442" s="742"/>
      <c r="R442" s="742"/>
      <c r="S442" s="742"/>
      <c r="T442" s="742"/>
      <c r="U442" s="742"/>
      <c r="V442" s="742"/>
      <c r="W442" s="742"/>
      <c r="X442" s="153"/>
      <c r="Y442" s="194"/>
    </row>
    <row r="443" spans="1:25" ht="21.95" customHeight="1" x14ac:dyDescent="0.2">
      <c r="A443" s="440" t="s">
        <v>3897</v>
      </c>
      <c r="B443" s="282" t="str">
        <f>SUBSTITUTE(CONFIG_POINT_HEADER_TEMPLATE,"[MAX]",B441)</f>
        <v>(Maximum Points: 5)</v>
      </c>
      <c r="C443" s="281"/>
      <c r="D443" s="281"/>
      <c r="E443" s="281"/>
      <c r="F443" s="281"/>
      <c r="G443" s="281"/>
      <c r="H443" s="215"/>
      <c r="I443" s="742"/>
      <c r="J443" s="742"/>
      <c r="K443" s="742"/>
      <c r="L443" s="742"/>
      <c r="M443" s="742"/>
      <c r="N443" s="742"/>
      <c r="O443" s="742"/>
      <c r="P443" s="742"/>
      <c r="Q443" s="742"/>
      <c r="R443" s="742"/>
      <c r="S443" s="742"/>
      <c r="T443" s="742"/>
      <c r="U443" s="742"/>
      <c r="V443" s="742"/>
      <c r="W443" s="742"/>
      <c r="X443" s="153"/>
      <c r="Y443" s="194"/>
    </row>
    <row r="444" spans="1:25" ht="21.95" customHeight="1" x14ac:dyDescent="0.2">
      <c r="A444" s="440" t="s">
        <v>3898</v>
      </c>
      <c r="B444" s="441" t="str">
        <f ca="1">SUBSTITUTE(CONFIG_SCORE_SUBHEADER_TEMPLATE,"[SCORE]",ROUND(B442,2))</f>
        <v>Estimated Score: 0</v>
      </c>
      <c r="C444" s="281"/>
      <c r="D444" s="281"/>
      <c r="E444" s="281"/>
      <c r="F444" s="281"/>
      <c r="G444" s="281"/>
      <c r="H444" s="215"/>
      <c r="I444" s="742"/>
      <c r="J444" s="742"/>
      <c r="K444" s="742"/>
      <c r="L444" s="742"/>
      <c r="M444" s="742"/>
      <c r="N444" s="742"/>
      <c r="O444" s="742"/>
      <c r="P444" s="742"/>
      <c r="Q444" s="742"/>
      <c r="R444" s="742"/>
      <c r="S444" s="742"/>
      <c r="T444" s="742"/>
      <c r="U444" s="742"/>
      <c r="V444" s="742"/>
      <c r="W444" s="742"/>
      <c r="X444" s="153"/>
      <c r="Y444" s="194"/>
    </row>
    <row r="445" spans="1:25" ht="21.95" customHeight="1" x14ac:dyDescent="0.2">
      <c r="A445" s="285" t="s">
        <v>3219</v>
      </c>
      <c r="B445" s="305" t="str">
        <f>C445&amp;" "&amp;B459</f>
        <v>Home Purchase by Low- or Moderate-Income Household (Maximum Points: 6)</v>
      </c>
      <c r="C445" s="287" t="s">
        <v>3828</v>
      </c>
      <c r="D445" s="287"/>
      <c r="E445" s="287"/>
      <c r="F445" s="287"/>
      <c r="G445" s="172" t="str">
        <f>B454</f>
        <v>Home Purchase</v>
      </c>
      <c r="H445" s="215"/>
      <c r="I445" s="742"/>
      <c r="J445" s="742"/>
      <c r="K445" s="742"/>
      <c r="L445" s="742"/>
      <c r="M445" s="742"/>
      <c r="N445" s="742"/>
      <c r="O445" s="742"/>
      <c r="P445" s="742"/>
      <c r="Q445" s="742"/>
      <c r="R445" s="742"/>
      <c r="S445" s="742"/>
      <c r="T445" s="742"/>
      <c r="U445" s="742"/>
      <c r="V445" s="742"/>
      <c r="W445" s="742"/>
      <c r="X445" s="153"/>
      <c r="Y445" s="194"/>
    </row>
    <row r="446" spans="1:25" ht="21.95" customHeight="1" x14ac:dyDescent="0.2">
      <c r="A446" s="273" t="s">
        <v>3117</v>
      </c>
      <c r="B446" s="288" t="str">
        <f>IF(U493&lt;&gt;"",U493,"")</f>
        <v/>
      </c>
      <c r="C446" s="281" t="str">
        <f ca="1">VLOOKUP(A446,DB_TBL_DATA_FIELDS[[FIELD_ID]:[PCT_CALC_FIELD_STATUS_CODE]],22,FALSE)</f>
        <v/>
      </c>
      <c r="D446" s="281" t="str">
        <f ca="1">IF(VLOOKUP(A446,DB_TBL_DATA_FIELDS[[FIELD_ID]:[ERROR_MESSAGE]],23,FALSE)&lt;&gt;0,VLOOKUP(A446,DB_TBL_DATA_FIELDS[[FIELD_ID]:[ERROR_MESSAGE]],23,FALSE),"")</f>
        <v/>
      </c>
      <c r="E446" s="281">
        <f>VLOOKUP(A446,DB_TBL_DATA_FIELDS[[#All],[FIELD_ID]:[RANGE_VALIDATION_MAX]],18,FALSE)</f>
        <v>0</v>
      </c>
      <c r="F446" s="281">
        <f>VLOOKUP(A446,DB_TBL_DATA_FIELDS[[#All],[FIELD_ID]:[RANGE_VALIDATION_MAX]],19,FALSE)</f>
        <v>999999999999</v>
      </c>
      <c r="G446" s="281" t="str">
        <f t="shared" ref="G446" ca="1" si="47">IF(C446&lt;0,"",C446)</f>
        <v/>
      </c>
      <c r="H446" s="215"/>
      <c r="I446" s="742"/>
      <c r="J446" s="742"/>
      <c r="K446" s="742"/>
      <c r="L446" s="742"/>
      <c r="M446" s="742"/>
      <c r="N446" s="742"/>
      <c r="O446" s="742"/>
      <c r="P446" s="742"/>
      <c r="Q446" s="742"/>
      <c r="R446" s="742"/>
      <c r="S446" s="742"/>
      <c r="T446" s="742"/>
      <c r="U446" s="742"/>
      <c r="V446" s="742"/>
      <c r="W446" s="742"/>
      <c r="X446" s="153"/>
      <c r="Y446" s="194"/>
    </row>
    <row r="447" spans="1:25" ht="21.95" customHeight="1" x14ac:dyDescent="0.2">
      <c r="A447" s="290" t="s">
        <v>3220</v>
      </c>
      <c r="B447" s="282" t="str">
        <f>"C"&amp;MATCH(LEFT(A447,LEN(A447)-LEN("_RANGE")),A:A,0)+1&amp;":C"&amp;(ROW()-1)</f>
        <v>C446:C446</v>
      </c>
      <c r="C447" s="281"/>
      <c r="D447" s="281"/>
      <c r="E447" s="281"/>
      <c r="F447" s="281"/>
      <c r="G447" s="281"/>
      <c r="H447" s="215"/>
      <c r="I447" s="742"/>
      <c r="J447" s="742"/>
      <c r="K447" s="742"/>
      <c r="L447" s="742"/>
      <c r="M447" s="742"/>
      <c r="N447" s="742"/>
      <c r="O447" s="742"/>
      <c r="P447" s="742"/>
      <c r="Q447" s="742"/>
      <c r="R447" s="742"/>
      <c r="S447" s="742"/>
      <c r="T447" s="742"/>
      <c r="U447" s="742"/>
      <c r="V447" s="742"/>
      <c r="W447" s="742"/>
      <c r="X447" s="153"/>
      <c r="Y447" s="194"/>
    </row>
    <row r="448" spans="1:25" ht="21.95" customHeight="1" x14ac:dyDescent="0.2">
      <c r="A448" s="290" t="s">
        <v>3221</v>
      </c>
      <c r="B448" s="282">
        <f ca="1">COUNTIF(INDIRECT($B447),2)</f>
        <v>0</v>
      </c>
      <c r="C448" s="281"/>
      <c r="D448" s="281"/>
      <c r="E448" s="281"/>
      <c r="F448" s="281"/>
      <c r="G448" s="281"/>
      <c r="H448" s="215"/>
      <c r="I448" s="742"/>
      <c r="J448" s="742"/>
      <c r="K448" s="742"/>
      <c r="L448" s="742"/>
      <c r="M448" s="742"/>
      <c r="N448" s="742"/>
      <c r="O448" s="742"/>
      <c r="P448" s="742"/>
      <c r="Q448" s="742"/>
      <c r="R448" s="742"/>
      <c r="S448" s="742"/>
      <c r="T448" s="742"/>
      <c r="U448" s="742"/>
      <c r="V448" s="742"/>
      <c r="W448" s="742"/>
      <c r="X448" s="153"/>
      <c r="Y448" s="194"/>
    </row>
    <row r="449" spans="1:25" ht="21.95" customHeight="1" x14ac:dyDescent="0.2">
      <c r="A449" s="290" t="s">
        <v>3222</v>
      </c>
      <c r="B449" s="282">
        <f ca="1">COUNTIF(INDIRECT($B447),0)+COUNTIF(INDIRECT($B447),1)+COUNTIF(INDIRECT($B447),2)</f>
        <v>0</v>
      </c>
      <c r="C449" s="281"/>
      <c r="D449" s="281"/>
      <c r="E449" s="281"/>
      <c r="F449" s="281"/>
      <c r="G449" s="281"/>
      <c r="H449" s="215"/>
      <c r="I449" s="742"/>
      <c r="J449" s="742"/>
      <c r="K449" s="742"/>
      <c r="L449" s="742"/>
      <c r="M449" s="742"/>
      <c r="N449" s="742"/>
      <c r="O449" s="742"/>
      <c r="P449" s="742"/>
      <c r="Q449" s="742"/>
      <c r="R449" s="742"/>
      <c r="S449" s="742"/>
      <c r="T449" s="742"/>
      <c r="U449" s="742"/>
      <c r="V449" s="742"/>
      <c r="W449" s="742"/>
      <c r="X449" s="153"/>
      <c r="Y449" s="194"/>
    </row>
    <row r="450" spans="1:25" ht="21.95" customHeight="1" x14ac:dyDescent="0.2">
      <c r="A450" s="290" t="s">
        <v>3223</v>
      </c>
      <c r="B450" s="282">
        <f ca="1">COUNTIF(INDIRECT($B447),0)</f>
        <v>0</v>
      </c>
      <c r="C450" s="281" t="s">
        <v>2607</v>
      </c>
      <c r="D450" s="281"/>
      <c r="E450" s="281"/>
      <c r="F450" s="281"/>
      <c r="G450" s="281"/>
      <c r="H450" s="215"/>
      <c r="I450" s="194"/>
      <c r="J450" s="153"/>
      <c r="K450" s="194"/>
      <c r="L450" s="153"/>
      <c r="M450" s="194"/>
      <c r="N450" s="153"/>
      <c r="O450" s="194"/>
      <c r="P450" s="153"/>
      <c r="Q450" s="194"/>
      <c r="R450" s="153"/>
      <c r="S450" s="194"/>
      <c r="T450" s="153"/>
      <c r="U450" s="194"/>
      <c r="V450" s="153"/>
      <c r="W450" s="194"/>
      <c r="X450" s="153"/>
      <c r="Y450" s="194"/>
    </row>
    <row r="451" spans="1:25" ht="21.95" customHeight="1" thickBot="1" x14ac:dyDescent="0.25">
      <c r="A451" s="290" t="s">
        <v>3224</v>
      </c>
      <c r="B451" s="291">
        <f ca="1">IFERROR(B448/B449,1.01)</f>
        <v>1.01</v>
      </c>
      <c r="C451" s="281"/>
      <c r="D451" s="281"/>
      <c r="E451" s="281"/>
      <c r="F451" s="281"/>
      <c r="G451" s="281"/>
      <c r="H451" s="215"/>
      <c r="I451" s="216" t="s">
        <v>3016</v>
      </c>
      <c r="J451" s="217"/>
      <c r="K451" s="223"/>
      <c r="L451" s="217"/>
      <c r="M451" s="223"/>
      <c r="N451" s="217"/>
      <c r="O451" s="223"/>
      <c r="P451" s="217"/>
      <c r="Q451" s="223"/>
      <c r="R451" s="217"/>
      <c r="S451" s="223"/>
      <c r="T451" s="217"/>
      <c r="U451" s="223"/>
      <c r="V451" s="217"/>
      <c r="W451" s="223"/>
      <c r="X451" s="153"/>
      <c r="Y451" s="194"/>
    </row>
    <row r="452" spans="1:25" ht="21.95" customHeight="1" thickTop="1" x14ac:dyDescent="0.2">
      <c r="A452" s="290" t="s">
        <v>3225</v>
      </c>
      <c r="B452" s="292" t="str">
        <f ca="1">IF(B450&gt;0,"Data Error(s)",IF(B451=0,"Not Started",IF(B451&lt;1,ROUNDUP(B451*100,0)&amp;"% Done",IF(B451&gt;1,"Optional","Complete"))))</f>
        <v>Optional</v>
      </c>
      <c r="C452" s="281"/>
      <c r="D452" s="281"/>
      <c r="E452" s="281"/>
      <c r="F452" s="281"/>
      <c r="G452" s="281"/>
      <c r="H452" s="215"/>
      <c r="I452" s="194"/>
      <c r="J452" s="153"/>
      <c r="K452" s="194"/>
      <c r="L452" s="153"/>
      <c r="M452" s="194"/>
      <c r="N452" s="153"/>
      <c r="O452" s="194"/>
      <c r="P452" s="153"/>
      <c r="Q452" s="194"/>
      <c r="R452" s="153"/>
      <c r="S452" s="194"/>
      <c r="T452" s="153"/>
      <c r="U452" s="194"/>
      <c r="V452" s="153"/>
      <c r="W452" s="194"/>
      <c r="X452" s="153"/>
      <c r="Y452" s="194"/>
    </row>
    <row r="453" spans="1:25" ht="21.95" customHeight="1" x14ac:dyDescent="0.2">
      <c r="A453" s="290" t="s">
        <v>3226</v>
      </c>
      <c r="B453" s="282">
        <f ca="1">IF(B450&gt;0,0,IF(B451&lt;1,"",2))</f>
        <v>2</v>
      </c>
      <c r="C453" s="281"/>
      <c r="D453" s="281"/>
      <c r="E453" s="281"/>
      <c r="F453" s="281"/>
      <c r="G453" s="281"/>
      <c r="H453" s="215"/>
      <c r="I453" s="237" t="s">
        <v>3385</v>
      </c>
      <c r="J453" s="153"/>
      <c r="K453" s="215"/>
      <c r="L453" s="153"/>
      <c r="M453" s="215"/>
      <c r="N453" s="153"/>
      <c r="O453" s="215"/>
      <c r="P453" s="153"/>
      <c r="Q453" s="466"/>
      <c r="R453" s="467"/>
      <c r="S453" s="467"/>
      <c r="T453" s="467"/>
      <c r="U453" s="467"/>
      <c r="V453" s="467"/>
      <c r="W453" s="468"/>
      <c r="X453" s="165">
        <f ca="1">G340</f>
        <v>1</v>
      </c>
      <c r="Y453" s="194"/>
    </row>
    <row r="454" spans="1:25" ht="21.95" customHeight="1" x14ac:dyDescent="0.2">
      <c r="A454" s="290" t="s">
        <v>3227</v>
      </c>
      <c r="B454" s="293" t="s">
        <v>3685</v>
      </c>
      <c r="C454" s="281"/>
      <c r="D454" s="281"/>
      <c r="E454" s="281"/>
      <c r="F454" s="281"/>
      <c r="G454" s="281"/>
      <c r="H454" s="215"/>
      <c r="I454" s="226" t="s">
        <v>3451</v>
      </c>
      <c r="J454" s="153"/>
      <c r="K454" s="194"/>
      <c r="L454" s="153"/>
      <c r="M454" s="194"/>
      <c r="N454" s="153"/>
      <c r="O454" s="194"/>
      <c r="P454" s="153"/>
      <c r="Q454" s="194"/>
      <c r="R454" s="153"/>
      <c r="S454" s="194"/>
      <c r="T454" s="153"/>
      <c r="U454" s="194"/>
      <c r="V454" s="153"/>
      <c r="W454" s="194"/>
      <c r="X454" s="153"/>
      <c r="Y454" s="194"/>
    </row>
    <row r="455" spans="1:25" ht="21.95" customHeight="1" x14ac:dyDescent="0.2">
      <c r="A455" s="294" t="s">
        <v>3228</v>
      </c>
      <c r="B455" s="282">
        <v>0</v>
      </c>
      <c r="C455" s="281" t="s">
        <v>2462</v>
      </c>
      <c r="D455" s="281"/>
      <c r="E455" s="281"/>
      <c r="F455" s="281"/>
      <c r="G455" s="281"/>
      <c r="H455" s="215"/>
      <c r="I455" s="194"/>
      <c r="J455" s="153"/>
      <c r="K455" s="194"/>
      <c r="L455" s="153"/>
      <c r="M455" s="194"/>
      <c r="N455" s="153"/>
      <c r="O455" s="194"/>
      <c r="P455" s="153"/>
      <c r="Q455" s="194"/>
      <c r="R455" s="153"/>
      <c r="S455" s="194"/>
      <c r="T455" s="153"/>
      <c r="U455" s="194"/>
      <c r="V455" s="153"/>
      <c r="W455" s="194"/>
      <c r="X455" s="153"/>
      <c r="Y455" s="194"/>
    </row>
    <row r="456" spans="1:25" ht="21.95" customHeight="1" x14ac:dyDescent="0.2">
      <c r="A456" s="294" t="s">
        <v>3229</v>
      </c>
      <c r="B456" s="282" t="b">
        <f>(B455&gt;0)</f>
        <v>0</v>
      </c>
      <c r="C456" s="281"/>
      <c r="D456" s="281"/>
      <c r="E456" s="281"/>
      <c r="F456" s="281"/>
      <c r="G456" s="281"/>
      <c r="H456" s="215"/>
      <c r="I456" s="237" t="s">
        <v>3682</v>
      </c>
      <c r="J456" s="153"/>
      <c r="K456" s="215"/>
      <c r="L456" s="153"/>
      <c r="M456" s="215"/>
      <c r="N456" s="153"/>
      <c r="O456" s="215"/>
      <c r="P456" s="153"/>
      <c r="Q456" s="215"/>
      <c r="R456" s="153"/>
      <c r="S456" s="215"/>
      <c r="T456" s="153"/>
      <c r="U456" s="215"/>
      <c r="V456" s="153"/>
      <c r="W456" s="316"/>
      <c r="X456" s="165">
        <f ca="1">G342</f>
        <v>1</v>
      </c>
      <c r="Y456" s="194"/>
    </row>
    <row r="457" spans="1:25" ht="21.95" customHeight="1" x14ac:dyDescent="0.2">
      <c r="A457" s="440" t="s">
        <v>3891</v>
      </c>
      <c r="B457" s="282">
        <v>6</v>
      </c>
      <c r="C457" s="281"/>
      <c r="D457" s="281"/>
      <c r="E457" s="281"/>
      <c r="F457" s="281"/>
      <c r="G457" s="281"/>
      <c r="H457" s="215"/>
      <c r="I457" s="563" t="s">
        <v>3681</v>
      </c>
      <c r="J457" s="563"/>
      <c r="K457" s="563"/>
      <c r="L457" s="563"/>
      <c r="M457" s="563"/>
      <c r="N457" s="563"/>
      <c r="O457" s="563"/>
      <c r="P457" s="563"/>
      <c r="Q457" s="563"/>
      <c r="R457" s="563"/>
      <c r="S457" s="563"/>
      <c r="T457" s="563"/>
      <c r="U457" s="563"/>
      <c r="V457" s="563"/>
      <c r="W457" s="563"/>
      <c r="X457" s="202"/>
      <c r="Y457" s="194"/>
    </row>
    <row r="458" spans="1:25" ht="21.95" customHeight="1" x14ac:dyDescent="0.2">
      <c r="A458" s="440" t="s">
        <v>3892</v>
      </c>
      <c r="B458" s="282">
        <f ca="1">DATA_SCORE_HOMEPURCHASE_FINAL</f>
        <v>0</v>
      </c>
      <c r="C458" s="281"/>
      <c r="D458" s="281"/>
      <c r="E458" s="281"/>
      <c r="F458" s="281"/>
      <c r="G458" s="281"/>
      <c r="H458" s="215"/>
      <c r="I458" s="563"/>
      <c r="J458" s="563"/>
      <c r="K458" s="563"/>
      <c r="L458" s="563"/>
      <c r="M458" s="563"/>
      <c r="N458" s="563"/>
      <c r="O458" s="563"/>
      <c r="P458" s="563"/>
      <c r="Q458" s="563"/>
      <c r="R458" s="563"/>
      <c r="S458" s="563"/>
      <c r="T458" s="563"/>
      <c r="U458" s="563"/>
      <c r="V458" s="563"/>
      <c r="W458" s="563"/>
      <c r="X458" s="153"/>
      <c r="Y458" s="194"/>
    </row>
    <row r="459" spans="1:25" ht="21.95" customHeight="1" x14ac:dyDescent="0.2">
      <c r="A459" s="440" t="s">
        <v>3893</v>
      </c>
      <c r="B459" s="282" t="str">
        <f>SUBSTITUTE(CONFIG_POINT_HEADER_TEMPLATE,"[MAX]",B457)</f>
        <v>(Maximum Points: 6)</v>
      </c>
      <c r="C459" s="281"/>
      <c r="D459" s="281"/>
      <c r="E459" s="281"/>
      <c r="F459" s="281"/>
      <c r="G459" s="281"/>
      <c r="H459" s="215"/>
      <c r="I459" s="563"/>
      <c r="J459" s="563"/>
      <c r="K459" s="563"/>
      <c r="L459" s="563"/>
      <c r="M459" s="563"/>
      <c r="N459" s="563"/>
      <c r="O459" s="563"/>
      <c r="P459" s="563"/>
      <c r="Q459" s="563"/>
      <c r="R459" s="563"/>
      <c r="S459" s="563"/>
      <c r="T459" s="563"/>
      <c r="U459" s="563"/>
      <c r="V459" s="563"/>
      <c r="W459" s="563"/>
      <c r="X459" s="153"/>
      <c r="Y459" s="194"/>
    </row>
    <row r="460" spans="1:25" ht="21.95" customHeight="1" x14ac:dyDescent="0.2">
      <c r="A460" s="440" t="s">
        <v>3894</v>
      </c>
      <c r="B460" s="441" t="str">
        <f ca="1">SUBSTITUTE(CONFIG_SCORE_SUBHEADER_TEMPLATE,"[SCORE]",ROUND(B458,2))</f>
        <v>Estimated Score: 0</v>
      </c>
      <c r="C460" s="281"/>
      <c r="D460" s="281"/>
      <c r="E460" s="281"/>
      <c r="F460" s="281"/>
      <c r="G460" s="281"/>
      <c r="H460" s="215"/>
      <c r="I460" s="563"/>
      <c r="J460" s="563"/>
      <c r="K460" s="563"/>
      <c r="L460" s="563"/>
      <c r="M460" s="563"/>
      <c r="N460" s="563"/>
      <c r="O460" s="563"/>
      <c r="P460" s="563"/>
      <c r="Q460" s="563"/>
      <c r="R460" s="563"/>
      <c r="S460" s="563"/>
      <c r="T460" s="563"/>
      <c r="U460" s="563"/>
      <c r="V460" s="563"/>
      <c r="W460" s="563"/>
      <c r="X460" s="153"/>
      <c r="Y460" s="194"/>
    </row>
    <row r="461" spans="1:25" ht="21.95" customHeight="1" thickBot="1" x14ac:dyDescent="0.25">
      <c r="A461" s="285" t="s">
        <v>3315</v>
      </c>
      <c r="B461" s="305" t="str">
        <f>C461&amp;" "&amp;B475</f>
        <v>In-District Projects (Maximum Points: 5)</v>
      </c>
      <c r="C461" s="287" t="s">
        <v>3573</v>
      </c>
      <c r="D461" s="287"/>
      <c r="E461" s="287"/>
      <c r="F461" s="287"/>
      <c r="G461" s="172" t="str">
        <f>B470</f>
        <v>In-District Projects</v>
      </c>
      <c r="H461" s="215"/>
      <c r="I461" s="216" t="s">
        <v>3018</v>
      </c>
      <c r="J461" s="217"/>
      <c r="K461" s="223"/>
      <c r="L461" s="217"/>
      <c r="M461" s="223"/>
      <c r="N461" s="217"/>
      <c r="O461" s="223"/>
      <c r="P461" s="217"/>
      <c r="Q461" s="255"/>
      <c r="R461" s="217"/>
      <c r="S461" s="223"/>
      <c r="T461" s="217"/>
      <c r="U461" s="223"/>
      <c r="V461" s="217"/>
      <c r="W461" s="223"/>
      <c r="X461" s="153"/>
      <c r="Y461" s="194"/>
    </row>
    <row r="462" spans="1:25" ht="21.95" customHeight="1" thickTop="1" x14ac:dyDescent="0.2">
      <c r="A462" s="290" t="s">
        <v>3570</v>
      </c>
      <c r="B462" s="296" t="str">
        <f ca="1">VLOOKUP(A462,'$DB.DATA'!D:H,5,FALSE)</f>
        <v/>
      </c>
      <c r="C462" s="281">
        <f ca="1">VLOOKUP(A462,DB_TBL_DATA_FIELDS[[FIELD_ID]:[PCT_CALC_FIELD_STATUS_CODE]],22,FALSE)</f>
        <v>1</v>
      </c>
      <c r="D462" s="281" t="str">
        <f>IF(VLOOKUP(A462,DB_TBL_DATA_FIELDS[[FIELD_ID]:[ERROR_MESSAGE]],23,FALSE)&lt;&gt;0,VLOOKUP(A462,DB_TBL_DATA_FIELDS[[FIELD_ID]:[ERROR_MESSAGE]],23,FALSE),"")</f>
        <v/>
      </c>
      <c r="E462" s="281">
        <f>VLOOKUP(A462,DB_TBL_DATA_FIELDS[[#All],[FIELD_ID]:[RANGE_VALIDATION_MAX]],18,FALSE)</f>
        <v>0</v>
      </c>
      <c r="F462" s="281">
        <f>VLOOKUP(A462,DB_TBL_DATA_FIELDS[[#All],[FIELD_ID]:[RANGE_VALIDATION_MAX]],19,FALSE)</f>
        <v>1</v>
      </c>
      <c r="G462" s="281">
        <f t="shared" ref="G462" ca="1" si="48">IF(C462&lt;0,"",C462)</f>
        <v>1</v>
      </c>
      <c r="H462" s="215"/>
      <c r="I462" s="496" t="s">
        <v>3368</v>
      </c>
      <c r="J462" s="497"/>
      <c r="K462" s="497"/>
      <c r="L462" s="497"/>
      <c r="M462" s="497"/>
      <c r="N462" s="497"/>
      <c r="O462" s="497"/>
      <c r="P462" s="497"/>
      <c r="Q462" s="497"/>
      <c r="R462" s="497"/>
      <c r="S462" s="497"/>
      <c r="T462" s="497"/>
      <c r="U462" s="497"/>
      <c r="V462" s="497"/>
      <c r="W462" s="497"/>
      <c r="X462" s="153"/>
      <c r="Y462" s="194"/>
    </row>
    <row r="463" spans="1:25" ht="21.95" customHeight="1" x14ac:dyDescent="0.2">
      <c r="A463" s="290" t="s">
        <v>3316</v>
      </c>
      <c r="B463" s="282" t="str">
        <f>"C"&amp;MATCH(LEFT(A463,LEN(A463)-LEN("_RANGE")),A:A,0)+1&amp;":C"&amp;(ROW()-1)</f>
        <v>C462:C462</v>
      </c>
      <c r="C463" s="281"/>
      <c r="D463" s="281"/>
      <c r="E463" s="281"/>
      <c r="F463" s="281"/>
      <c r="G463" s="281"/>
      <c r="H463" s="215"/>
      <c r="I463" s="660"/>
      <c r="J463" s="660"/>
      <c r="K463" s="660"/>
      <c r="L463" s="660"/>
      <c r="M463" s="660"/>
      <c r="N463" s="660"/>
      <c r="O463" s="660"/>
      <c r="P463" s="660"/>
      <c r="Q463" s="660"/>
      <c r="R463" s="660"/>
      <c r="S463" s="660"/>
      <c r="T463" s="660"/>
      <c r="U463" s="660"/>
      <c r="V463" s="660"/>
      <c r="W463" s="660"/>
      <c r="X463" s="153"/>
      <c r="Y463" s="194"/>
    </row>
    <row r="464" spans="1:25" ht="21.95" customHeight="1" x14ac:dyDescent="0.2">
      <c r="A464" s="290" t="s">
        <v>3317</v>
      </c>
      <c r="B464" s="282">
        <f ca="1">COUNTIF(INDIRECT($B463),2)</f>
        <v>0</v>
      </c>
      <c r="C464" s="281"/>
      <c r="D464" s="281"/>
      <c r="E464" s="281"/>
      <c r="F464" s="281"/>
      <c r="G464" s="281"/>
      <c r="H464" s="215"/>
      <c r="I464" s="660"/>
      <c r="J464" s="660"/>
      <c r="K464" s="660"/>
      <c r="L464" s="660"/>
      <c r="M464" s="660"/>
      <c r="N464" s="660"/>
      <c r="O464" s="660"/>
      <c r="P464" s="660"/>
      <c r="Q464" s="660"/>
      <c r="R464" s="660"/>
      <c r="S464" s="660"/>
      <c r="T464" s="660"/>
      <c r="U464" s="660"/>
      <c r="V464" s="660"/>
      <c r="W464" s="660"/>
      <c r="X464" s="153"/>
      <c r="Y464" s="194"/>
    </row>
    <row r="465" spans="1:25" ht="21.95" customHeight="1" x14ac:dyDescent="0.2">
      <c r="A465" s="290" t="s">
        <v>3318</v>
      </c>
      <c r="B465" s="282">
        <f ca="1">COUNTIF(INDIRECT($B463),0)+COUNTIF(INDIRECT($B463),1)+COUNTIF(INDIRECT($B463),2)</f>
        <v>1</v>
      </c>
      <c r="C465" s="281"/>
      <c r="D465" s="281"/>
      <c r="E465" s="281"/>
      <c r="F465" s="281"/>
      <c r="G465" s="281"/>
      <c r="H465" s="215"/>
      <c r="I465" s="207" t="s">
        <v>3453</v>
      </c>
      <c r="J465" s="153"/>
      <c r="K465" s="215"/>
      <c r="L465" s="153"/>
      <c r="M465" s="215"/>
      <c r="N465" s="153"/>
      <c r="O465" s="215"/>
      <c r="P465" s="153"/>
      <c r="Q465" s="256"/>
      <c r="R465" s="153"/>
      <c r="S465" s="215"/>
      <c r="T465" s="153"/>
      <c r="U465" s="215"/>
      <c r="V465" s="153"/>
      <c r="W465" s="215"/>
      <c r="X465" s="153"/>
      <c r="Y465" s="194"/>
    </row>
    <row r="466" spans="1:25" ht="21.95" customHeight="1" x14ac:dyDescent="0.2">
      <c r="A466" s="290" t="s">
        <v>3319</v>
      </c>
      <c r="B466" s="282">
        <f ca="1">COUNTIF(INDIRECT($B463),0)</f>
        <v>0</v>
      </c>
      <c r="C466" s="281" t="s">
        <v>2607</v>
      </c>
      <c r="D466" s="281"/>
      <c r="E466" s="281"/>
      <c r="F466" s="281"/>
      <c r="G466" s="281"/>
      <c r="H466" s="215"/>
      <c r="I466" s="226" t="s">
        <v>3454</v>
      </c>
      <c r="J466" s="153"/>
      <c r="K466" s="215"/>
      <c r="L466" s="153"/>
      <c r="M466" s="215"/>
      <c r="N466" s="153"/>
      <c r="O466" s="215"/>
      <c r="P466" s="153"/>
      <c r="Q466" s="215"/>
      <c r="R466" s="153"/>
      <c r="S466" s="215"/>
      <c r="T466" s="153"/>
      <c r="U466" s="215"/>
      <c r="V466" s="153"/>
      <c r="W466" s="364"/>
      <c r="X466" s="165" t="str">
        <f ca="1">G343</f>
        <v/>
      </c>
      <c r="Y466" s="194"/>
    </row>
    <row r="467" spans="1:25" ht="21.95" customHeight="1" x14ac:dyDescent="0.2">
      <c r="A467" s="290" t="s">
        <v>3320</v>
      </c>
      <c r="B467" s="291">
        <f ca="1">IFERROR(B464/B465,1.01)</f>
        <v>0</v>
      </c>
      <c r="C467" s="281"/>
      <c r="D467" s="281"/>
      <c r="E467" s="281"/>
      <c r="F467" s="281"/>
      <c r="G467" s="281"/>
      <c r="H467" s="215"/>
      <c r="I467" s="226" t="s">
        <v>3455</v>
      </c>
      <c r="J467" s="153"/>
      <c r="K467" s="215"/>
      <c r="L467" s="153"/>
      <c r="M467" s="215"/>
      <c r="N467" s="153"/>
      <c r="O467" s="215"/>
      <c r="P467" s="153"/>
      <c r="Q467" s="215"/>
      <c r="R467" s="153"/>
      <c r="S467" s="215"/>
      <c r="T467" s="153"/>
      <c r="U467" s="215"/>
      <c r="V467" s="153"/>
      <c r="W467" s="364"/>
      <c r="X467" s="165" t="str">
        <f ca="1">G344</f>
        <v/>
      </c>
      <c r="Y467" s="194"/>
    </row>
    <row r="468" spans="1:25" ht="21.95" customHeight="1" x14ac:dyDescent="0.2">
      <c r="A468" s="290" t="s">
        <v>3321</v>
      </c>
      <c r="B468" s="292" t="str">
        <f ca="1">IF(B466&gt;0,"Data Error(s)",IF(B467=0,"Not Started",IF(B467&lt;1,ROUNDUP(B467*100,0)&amp;"% Done",IF(B467&gt;1,"Optional","Complete"))))</f>
        <v>Not Started</v>
      </c>
      <c r="C468" s="281"/>
      <c r="D468" s="281"/>
      <c r="E468" s="281"/>
      <c r="F468" s="281"/>
      <c r="G468" s="281"/>
      <c r="H468" s="215"/>
      <c r="I468" s="226" t="s">
        <v>3465</v>
      </c>
      <c r="J468" s="153"/>
      <c r="K468" s="215"/>
      <c r="L468" s="153"/>
      <c r="M468" s="215"/>
      <c r="N468" s="153"/>
      <c r="O468" s="215"/>
      <c r="P468" s="153"/>
      <c r="Q468" s="215"/>
      <c r="R468" s="153"/>
      <c r="S468" s="215"/>
      <c r="T468" s="153"/>
      <c r="U468" s="215"/>
      <c r="V468" s="153"/>
      <c r="W468" s="364"/>
      <c r="X468" s="165" t="str">
        <f ca="1">G346</f>
        <v/>
      </c>
      <c r="Y468" s="194"/>
    </row>
    <row r="469" spans="1:25" ht="21.95" customHeight="1" x14ac:dyDescent="0.2">
      <c r="A469" s="290" t="s">
        <v>3322</v>
      </c>
      <c r="B469" s="282" t="str">
        <f ca="1">IF(B466&gt;0,0,IF(B467&lt;1,"",2))</f>
        <v/>
      </c>
      <c r="C469" s="281"/>
      <c r="D469" s="281"/>
      <c r="E469" s="281"/>
      <c r="F469" s="281"/>
      <c r="G469" s="281"/>
      <c r="H469" s="215"/>
      <c r="I469" s="226" t="s">
        <v>3456</v>
      </c>
      <c r="J469" s="153"/>
      <c r="K469" s="215"/>
      <c r="L469" s="153"/>
      <c r="M469" s="215"/>
      <c r="N469" s="153"/>
      <c r="O469" s="215"/>
      <c r="P469" s="153"/>
      <c r="Q469" s="215"/>
      <c r="R469" s="153"/>
      <c r="S469" s="215"/>
      <c r="T469" s="153"/>
      <c r="U469" s="215"/>
      <c r="V469" s="153"/>
      <c r="W469" s="364"/>
      <c r="X469" s="165" t="str">
        <f ca="1">G345</f>
        <v/>
      </c>
      <c r="Y469" s="194"/>
    </row>
    <row r="470" spans="1:25" ht="21.95" customHeight="1" x14ac:dyDescent="0.2">
      <c r="A470" s="290" t="s">
        <v>3323</v>
      </c>
      <c r="B470" s="293" t="s">
        <v>3573</v>
      </c>
      <c r="C470" s="281"/>
      <c r="D470" s="281"/>
      <c r="E470" s="281"/>
      <c r="F470" s="281"/>
      <c r="G470" s="281"/>
      <c r="H470" s="215"/>
      <c r="I470" s="226" t="s">
        <v>3466</v>
      </c>
      <c r="J470" s="153"/>
      <c r="K470" s="215"/>
      <c r="L470" s="153"/>
      <c r="M470" s="215"/>
      <c r="N470" s="153"/>
      <c r="O470" s="215"/>
      <c r="P470" s="153"/>
      <c r="Q470" s="215"/>
      <c r="R470" s="153"/>
      <c r="S470" s="215"/>
      <c r="T470" s="153"/>
      <c r="U470" s="215"/>
      <c r="V470" s="153"/>
      <c r="W470" s="364"/>
      <c r="X470" s="165" t="str">
        <f ca="1">G347</f>
        <v/>
      </c>
      <c r="Y470" s="194"/>
    </row>
    <row r="471" spans="1:25" ht="21.95" customHeight="1" x14ac:dyDescent="0.2">
      <c r="A471" s="294" t="s">
        <v>3324</v>
      </c>
      <c r="B471" s="282">
        <v>0</v>
      </c>
      <c r="C471" s="281" t="s">
        <v>2462</v>
      </c>
      <c r="D471" s="281"/>
      <c r="E471" s="281"/>
      <c r="F471" s="281"/>
      <c r="G471" s="281"/>
      <c r="H471" s="215"/>
      <c r="I471" s="226" t="s">
        <v>3467</v>
      </c>
      <c r="J471" s="153"/>
      <c r="K471" s="215"/>
      <c r="L471" s="153"/>
      <c r="M471" s="215"/>
      <c r="N471" s="153"/>
      <c r="O471" s="215"/>
      <c r="P471" s="153"/>
      <c r="Q471" s="215"/>
      <c r="R471" s="153"/>
      <c r="S471" s="215"/>
      <c r="T471" s="153"/>
      <c r="U471" s="215"/>
      <c r="V471" s="153"/>
      <c r="W471" s="364"/>
      <c r="X471" s="165" t="str">
        <f ca="1">G348</f>
        <v/>
      </c>
      <c r="Y471" s="194"/>
    </row>
    <row r="472" spans="1:25" ht="21.95" customHeight="1" x14ac:dyDescent="0.2">
      <c r="A472" s="294" t="s">
        <v>3325</v>
      </c>
      <c r="B472" s="282" t="b">
        <f>(B471&gt;0)</f>
        <v>0</v>
      </c>
      <c r="C472" s="281"/>
      <c r="D472" s="281"/>
      <c r="E472" s="281"/>
      <c r="F472" s="281"/>
      <c r="G472" s="281"/>
      <c r="H472" s="215"/>
      <c r="I472" s="226" t="s">
        <v>3468</v>
      </c>
      <c r="J472" s="153"/>
      <c r="K472" s="215"/>
      <c r="L472" s="153"/>
      <c r="M472" s="215"/>
      <c r="N472" s="153"/>
      <c r="O472" s="215"/>
      <c r="P472" s="153"/>
      <c r="Q472" s="215"/>
      <c r="R472" s="153"/>
      <c r="S472" s="215"/>
      <c r="T472" s="153"/>
      <c r="U472" s="215"/>
      <c r="V472" s="153"/>
      <c r="W472" s="364"/>
      <c r="X472" s="165" t="str">
        <f ca="1">G349</f>
        <v/>
      </c>
      <c r="Y472" s="194"/>
    </row>
    <row r="473" spans="1:25" ht="21.95" customHeight="1" x14ac:dyDescent="0.2">
      <c r="A473" s="440" t="s">
        <v>3887</v>
      </c>
      <c r="B473" s="282">
        <v>5</v>
      </c>
      <c r="C473" s="281"/>
      <c r="D473" s="281"/>
      <c r="E473" s="281"/>
      <c r="F473" s="281"/>
      <c r="G473" s="281"/>
      <c r="H473" s="215"/>
      <c r="I473" s="226" t="s">
        <v>3469</v>
      </c>
      <c r="J473" s="153"/>
      <c r="K473" s="215"/>
      <c r="L473" s="153"/>
      <c r="M473" s="215"/>
      <c r="N473" s="153"/>
      <c r="O473" s="215"/>
      <c r="P473" s="153"/>
      <c r="Q473" s="215"/>
      <c r="R473" s="153"/>
      <c r="S473" s="215"/>
      <c r="T473" s="153"/>
      <c r="U473" s="215"/>
      <c r="V473" s="153"/>
      <c r="W473" s="364"/>
      <c r="X473" s="165" t="str">
        <f ca="1">G350</f>
        <v/>
      </c>
      <c r="Y473" s="194"/>
    </row>
    <row r="474" spans="1:25" ht="21.95" customHeight="1" x14ac:dyDescent="0.2">
      <c r="A474" s="440" t="s">
        <v>3888</v>
      </c>
      <c r="B474" s="282">
        <f ca="1">DATA_SCORE_INDISTRICT_FINAL</f>
        <v>0</v>
      </c>
      <c r="C474" s="281"/>
      <c r="D474" s="281"/>
      <c r="E474" s="281"/>
      <c r="F474" s="281"/>
      <c r="G474" s="281"/>
      <c r="H474" s="215"/>
      <c r="I474" s="194"/>
      <c r="J474" s="153"/>
      <c r="K474" s="194"/>
      <c r="L474" s="153"/>
      <c r="M474" s="194"/>
      <c r="N474" s="153"/>
      <c r="O474" s="194"/>
      <c r="P474" s="153"/>
      <c r="Q474" s="194"/>
      <c r="R474" s="153"/>
      <c r="S474" s="194"/>
      <c r="T474" s="153"/>
      <c r="U474" s="194"/>
      <c r="V474" s="153"/>
      <c r="W474" s="194"/>
      <c r="X474" s="153"/>
      <c r="Y474" s="194"/>
    </row>
    <row r="475" spans="1:25" ht="21.95" customHeight="1" thickBot="1" x14ac:dyDescent="0.25">
      <c r="A475" s="440" t="s">
        <v>3889</v>
      </c>
      <c r="B475" s="282" t="str">
        <f>SUBSTITUTE(CONFIG_POINT_HEADER_TEMPLATE,"[MAX]",B473)</f>
        <v>(Maximum Points: 5)</v>
      </c>
      <c r="C475" s="281"/>
      <c r="D475" s="281"/>
      <c r="E475" s="281"/>
      <c r="F475" s="281"/>
      <c r="G475" s="281"/>
      <c r="H475" s="215"/>
      <c r="I475" s="216" t="s">
        <v>3019</v>
      </c>
      <c r="J475" s="217"/>
      <c r="K475" s="223"/>
      <c r="L475" s="217"/>
      <c r="M475" s="223"/>
      <c r="N475" s="217"/>
      <c r="O475" s="223"/>
      <c r="P475" s="217"/>
      <c r="Q475" s="223"/>
      <c r="R475" s="217"/>
      <c r="S475" s="223"/>
      <c r="T475" s="217"/>
      <c r="U475" s="223"/>
      <c r="V475" s="217"/>
      <c r="W475" s="223"/>
      <c r="X475" s="153"/>
      <c r="Y475" s="194"/>
    </row>
    <row r="476" spans="1:25" ht="21.95" customHeight="1" thickTop="1" x14ac:dyDescent="0.2">
      <c r="A476" s="440" t="s">
        <v>3890</v>
      </c>
      <c r="B476" s="441" t="str">
        <f ca="1">SUBSTITUTE(CONFIG_SCORE_SUBHEADER_TEMPLATE,"[SCORE]",ROUND(B474,2))</f>
        <v>Estimated Score: 0</v>
      </c>
      <c r="C476" s="281"/>
      <c r="D476" s="281"/>
      <c r="E476" s="281"/>
      <c r="F476" s="281"/>
      <c r="G476" s="281"/>
      <c r="H476" s="215"/>
      <c r="I476" s="215"/>
      <c r="J476" s="153"/>
      <c r="K476" s="215"/>
      <c r="L476" s="153"/>
      <c r="M476" s="215"/>
      <c r="N476" s="153"/>
      <c r="O476" s="215"/>
      <c r="P476" s="153"/>
      <c r="Q476" s="215"/>
      <c r="R476" s="153"/>
      <c r="S476" s="215"/>
      <c r="T476" s="153"/>
      <c r="U476" s="215"/>
      <c r="V476" s="153"/>
      <c r="W476" s="215"/>
      <c r="X476" s="153"/>
      <c r="Y476" s="194"/>
    </row>
    <row r="477" spans="1:25" ht="21.95" customHeight="1" x14ac:dyDescent="0.2">
      <c r="A477" s="285" t="s">
        <v>3349</v>
      </c>
      <c r="B477" s="305" t="str">
        <f>C477&amp;" "&amp;B518</f>
        <v>Project Readiness (Maximum Points: 7)</v>
      </c>
      <c r="C477" s="287" t="s">
        <v>3208</v>
      </c>
      <c r="D477" s="287"/>
      <c r="E477" s="287"/>
      <c r="F477" s="287"/>
      <c r="G477" s="172" t="str">
        <f>B513</f>
        <v>Project Readiness</v>
      </c>
      <c r="H477" s="215"/>
      <c r="I477" s="207" t="s">
        <v>3393</v>
      </c>
      <c r="J477" s="153"/>
      <c r="K477" s="215"/>
      <c r="L477" s="153"/>
      <c r="M477" s="215"/>
      <c r="N477" s="153"/>
      <c r="O477" s="466"/>
      <c r="P477" s="467"/>
      <c r="Q477" s="467"/>
      <c r="R477" s="467"/>
      <c r="S477" s="467"/>
      <c r="T477" s="467"/>
      <c r="U477" s="467"/>
      <c r="V477" s="467"/>
      <c r="W477" s="468"/>
      <c r="X477" s="165">
        <f ca="1">G351</f>
        <v>1</v>
      </c>
      <c r="Y477" s="194"/>
    </row>
    <row r="478" spans="1:25" ht="21.95" customHeight="1" x14ac:dyDescent="0.2">
      <c r="A478" s="273" t="s">
        <v>3123</v>
      </c>
      <c r="B478" s="288" t="str">
        <f>IF(W753="","",IF(UPPER(W753)="YES",TRUE,FALSE))</f>
        <v/>
      </c>
      <c r="C478" s="281" t="str">
        <f ca="1">VLOOKUP(A478,DB_TBL_DATA_FIELDS[[FIELD_ID]:[PCT_CALC_FIELD_STATUS_CODE]],22,FALSE)</f>
        <v/>
      </c>
      <c r="D478" s="281" t="str">
        <f>IF(VLOOKUP(A478,DB_TBL_DATA_FIELDS[[FIELD_ID]:[ERROR_MESSAGE]],23,FALSE)&lt;&gt;0,VLOOKUP(A478,DB_TBL_DATA_FIELDS[[FIELD_ID]:[ERROR_MESSAGE]],23,FALSE),"")</f>
        <v/>
      </c>
      <c r="E478" s="281">
        <f>VLOOKUP(A478,DB_TBL_DATA_FIELDS[[#All],[FIELD_ID]:[RANGE_VALIDATION_MAX]],18,FALSE)</f>
        <v>0</v>
      </c>
      <c r="F478" s="281">
        <f>VLOOKUP(A478,DB_TBL_DATA_FIELDS[[#All],[FIELD_ID]:[RANGE_VALIDATION_MAX]],19,FALSE)</f>
        <v>1</v>
      </c>
      <c r="G478" s="281" t="str">
        <f ca="1">IF(C478&lt;0,"",C478)</f>
        <v/>
      </c>
      <c r="H478" s="215"/>
      <c r="I478" s="194"/>
      <c r="J478" s="153"/>
      <c r="K478" s="194"/>
      <c r="L478" s="153"/>
      <c r="M478" s="194"/>
      <c r="N478" s="153"/>
      <c r="O478" s="194"/>
      <c r="P478" s="153"/>
      <c r="Q478" s="194"/>
      <c r="R478" s="153"/>
      <c r="S478" s="194"/>
      <c r="T478" s="153"/>
      <c r="U478" s="194"/>
      <c r="V478" s="153"/>
      <c r="W478" s="194"/>
      <c r="X478" s="153"/>
      <c r="Y478" s="194"/>
    </row>
    <row r="479" spans="1:25" ht="21.95" customHeight="1" x14ac:dyDescent="0.2">
      <c r="A479" s="273" t="s">
        <v>3125</v>
      </c>
      <c r="B479" s="288" t="str">
        <f>IF(I761&lt;&gt;"",I761,"")</f>
        <v/>
      </c>
      <c r="C479" s="281">
        <f ca="1">VLOOKUP(A479,DB_TBL_DATA_FIELDS[[FIELD_ID]:[PCT_CALC_FIELD_STATUS_CODE]],22,FALSE)</f>
        <v>1</v>
      </c>
      <c r="D479" s="281" t="str">
        <f ca="1">IF(VLOOKUP(A479,DB_TBL_DATA_FIELDS[[FIELD_ID]:[ERROR_MESSAGE]],23,FALSE)&lt;&gt;0,VLOOKUP(A479,DB_TBL_DATA_FIELDS[[FIELD_ID]:[ERROR_MESSAGE]],23,FALSE),"")</f>
        <v/>
      </c>
      <c r="E479" s="281">
        <f>VLOOKUP(A479,DB_TBL_DATA_FIELDS[[#All],[FIELD_ID]:[RANGE_VALIDATION_MAX]],18,FALSE)</f>
        <v>0</v>
      </c>
      <c r="F479" s="281">
        <f>VLOOKUP(A479,DB_TBL_DATA_FIELDS[[#All],[FIELD_ID]:[RANGE_VALIDATION_MAX]],19,FALSE)</f>
        <v>999999999999</v>
      </c>
      <c r="G479" s="281">
        <f ca="1">IF(C479&lt;0,"",C479)</f>
        <v>1</v>
      </c>
      <c r="H479" s="215"/>
      <c r="I479" s="207" t="s">
        <v>3470</v>
      </c>
      <c r="J479" s="243"/>
      <c r="K479" s="243"/>
      <c r="L479" s="243"/>
      <c r="M479" s="243"/>
      <c r="N479" s="243"/>
      <c r="O479" s="243"/>
      <c r="P479" s="243"/>
      <c r="Q479" s="243"/>
      <c r="R479" s="243"/>
      <c r="S479" s="243"/>
      <c r="T479" s="243"/>
      <c r="U479" s="243"/>
      <c r="V479" s="243"/>
      <c r="W479" s="243"/>
      <c r="X479" s="153"/>
      <c r="Y479" s="194"/>
    </row>
    <row r="480" spans="1:25" ht="21.95" customHeight="1" x14ac:dyDescent="0.2">
      <c r="A480" s="273" t="s">
        <v>3128</v>
      </c>
      <c r="B480" s="288" t="str">
        <f>IF(Q761&lt;&gt;"",Q761,"")</f>
        <v/>
      </c>
      <c r="C480" s="281">
        <f ca="1">VLOOKUP(A480,DB_TBL_DATA_FIELDS[[FIELD_ID]:[PCT_CALC_FIELD_STATUS_CODE]],22,FALSE)</f>
        <v>-1</v>
      </c>
      <c r="D480" s="281" t="str">
        <f>IF(VLOOKUP(A480,DB_TBL_DATA_FIELDS[[FIELD_ID]:[ERROR_MESSAGE]],23,FALSE)&lt;&gt;0,VLOOKUP(A480,DB_TBL_DATA_FIELDS[[FIELD_ID]:[ERROR_MESSAGE]],23,FALSE),"")</f>
        <v/>
      </c>
      <c r="E480" s="281">
        <f>VLOOKUP(A480,DB_TBL_DATA_FIELDS[[#All],[FIELD_ID]:[RANGE_VALIDATION_MAX]],18,FALSE)</f>
        <v>0</v>
      </c>
      <c r="F480" s="281">
        <f>VLOOKUP(A480,DB_TBL_DATA_FIELDS[[#All],[FIELD_ID]:[RANGE_VALIDATION_MAX]],19,FALSE)</f>
        <v>32767</v>
      </c>
      <c r="G480" s="281" t="str">
        <f t="shared" ref="G480:G504" ca="1" si="49">IF(C480&lt;0,"",C480)</f>
        <v/>
      </c>
      <c r="H480" s="215"/>
      <c r="I480" s="207"/>
      <c r="J480" s="243"/>
      <c r="K480" s="243"/>
      <c r="L480" s="243"/>
      <c r="M480" s="243"/>
      <c r="N480" s="243"/>
      <c r="O480" s="243"/>
      <c r="P480" s="243"/>
      <c r="Q480" s="243"/>
      <c r="R480" s="243"/>
      <c r="S480" s="243"/>
      <c r="T480" s="243"/>
      <c r="U480" s="243"/>
      <c r="V480" s="243"/>
      <c r="W480" s="243"/>
      <c r="X480" s="153"/>
      <c r="Y480" s="194"/>
    </row>
    <row r="481" spans="1:25" ht="21.95" customHeight="1" thickBot="1" x14ac:dyDescent="0.25">
      <c r="A481" s="273" t="s">
        <v>3129</v>
      </c>
      <c r="B481" s="288" t="str">
        <f>IF(I765&lt;&gt;"",I765,"")</f>
        <v/>
      </c>
      <c r="C481" s="281">
        <f ca="1">VLOOKUP(A481,DB_TBL_DATA_FIELDS[[FIELD_ID]:[PCT_CALC_FIELD_STATUS_CODE]],22,FALSE)</f>
        <v>-1</v>
      </c>
      <c r="D481" s="281" t="str">
        <f>IF(VLOOKUP(A481,DB_TBL_DATA_FIELDS[[FIELD_ID]:[ERROR_MESSAGE]],23,FALSE)&lt;&gt;0,VLOOKUP(A481,DB_TBL_DATA_FIELDS[[FIELD_ID]:[ERROR_MESSAGE]],23,FALSE),"")</f>
        <v/>
      </c>
      <c r="E481" s="281">
        <f>VLOOKUP(A481,DB_TBL_DATA_FIELDS[[#All],[FIELD_ID]:[RANGE_VALIDATION_MAX]],18,FALSE)</f>
        <v>0</v>
      </c>
      <c r="F481" s="281">
        <f>VLOOKUP(A481,DB_TBL_DATA_FIELDS[[#All],[FIELD_ID]:[RANGE_VALIDATION_MAX]],19,FALSE)</f>
        <v>32767</v>
      </c>
      <c r="G481" s="281" t="str">
        <f t="shared" ca="1" si="49"/>
        <v/>
      </c>
      <c r="H481" s="215"/>
      <c r="I481" s="424" t="str">
        <f>B445</f>
        <v>Home Purchase by Low- or Moderate-Income Household (Maximum Points: 6)</v>
      </c>
      <c r="J481" s="269"/>
      <c r="K481" s="269"/>
      <c r="L481" s="269"/>
      <c r="M481" s="269"/>
      <c r="N481" s="269"/>
      <c r="O481" s="269"/>
      <c r="P481" s="269"/>
      <c r="Q481" s="269"/>
      <c r="R481" s="269"/>
      <c r="S481" s="269"/>
      <c r="T481" s="269"/>
      <c r="U481" s="269"/>
      <c r="V481" s="269"/>
      <c r="W481" s="269"/>
      <c r="X481" s="167" t="str">
        <f ca="1">"Status: "&amp;$B$452</f>
        <v>Status: Optional</v>
      </c>
      <c r="Y481" s="194"/>
    </row>
    <row r="482" spans="1:25" ht="21.95" customHeight="1" x14ac:dyDescent="0.2">
      <c r="A482" s="273" t="s">
        <v>3131</v>
      </c>
      <c r="B482" s="288" t="str">
        <f>IF(Q765&lt;&gt;"",Q765,"")</f>
        <v/>
      </c>
      <c r="C482" s="281">
        <f ca="1">VLOOKUP(A482,DB_TBL_DATA_FIELDS[[FIELD_ID]:[PCT_CALC_FIELD_STATUS_CODE]],22,FALSE)</f>
        <v>-1</v>
      </c>
      <c r="D482" s="281" t="str">
        <f>IF(VLOOKUP(A482,DB_TBL_DATA_FIELDS[[FIELD_ID]:[ERROR_MESSAGE]],23,FALSE)&lt;&gt;0,VLOOKUP(A482,DB_TBL_DATA_FIELDS[[FIELD_ID]:[ERROR_MESSAGE]],23,FALSE),"")</f>
        <v/>
      </c>
      <c r="E482" s="281">
        <f>VLOOKUP(A482,DB_TBL_DATA_FIELDS[[#All],[FIELD_ID]:[RANGE_VALIDATION_MAX]],18,FALSE)</f>
        <v>0</v>
      </c>
      <c r="F482" s="281">
        <f>VLOOKUP(A482,DB_TBL_DATA_FIELDS[[#All],[FIELD_ID]:[RANGE_VALIDATION_MAX]],19,FALSE)</f>
        <v>32767</v>
      </c>
      <c r="G482" s="281" t="str">
        <f t="shared" ca="1" si="49"/>
        <v/>
      </c>
      <c r="H482" s="215"/>
      <c r="I482" s="194"/>
      <c r="J482" s="153"/>
      <c r="K482" s="194"/>
      <c r="L482" s="153"/>
      <c r="M482" s="194"/>
      <c r="N482" s="153"/>
      <c r="O482" s="194"/>
      <c r="P482" s="153"/>
      <c r="Q482" s="194"/>
      <c r="R482" s="153"/>
      <c r="S482" s="194"/>
      <c r="T482" s="153"/>
      <c r="U482" s="194"/>
      <c r="V482" s="153"/>
      <c r="W482" s="194"/>
      <c r="X482" s="153"/>
      <c r="Y482" s="194"/>
    </row>
    <row r="483" spans="1:25" ht="21.95" customHeight="1" x14ac:dyDescent="0.2">
      <c r="A483" s="273" t="s">
        <v>3133</v>
      </c>
      <c r="B483" s="288" t="str">
        <f>IF(I767&lt;&gt;"",I767,"")</f>
        <v/>
      </c>
      <c r="C483" s="281">
        <f ca="1">VLOOKUP(A483,DB_TBL_DATA_FIELDS[[FIELD_ID]:[PCT_CALC_FIELD_STATUS_CODE]],22,FALSE)</f>
        <v>-1</v>
      </c>
      <c r="D483" s="281" t="str">
        <f>IF(VLOOKUP(A483,DB_TBL_DATA_FIELDS[[FIELD_ID]:[ERROR_MESSAGE]],23,FALSE)&lt;&gt;0,VLOOKUP(A483,DB_TBL_DATA_FIELDS[[FIELD_ID]:[ERROR_MESSAGE]],23,FALSE),"")</f>
        <v/>
      </c>
      <c r="E483" s="281">
        <f>VLOOKUP(A483,DB_TBL_DATA_FIELDS[[#All],[FIELD_ID]:[RANGE_VALIDATION_MAX]],18,FALSE)</f>
        <v>0</v>
      </c>
      <c r="F483" s="281">
        <f>VLOOKUP(A483,DB_TBL_DATA_FIELDS[[#All],[FIELD_ID]:[RANGE_VALIDATION_MAX]],19,FALSE)</f>
        <v>32767</v>
      </c>
      <c r="G483" s="281" t="str">
        <f t="shared" ca="1" si="49"/>
        <v/>
      </c>
      <c r="H483" s="215"/>
      <c r="I483" s="499" t="s">
        <v>3498</v>
      </c>
      <c r="J483" s="498"/>
      <c r="K483" s="498"/>
      <c r="L483" s="498"/>
      <c r="M483" s="498"/>
      <c r="N483" s="498"/>
      <c r="O483" s="498"/>
      <c r="P483" s="498"/>
      <c r="Q483" s="498"/>
      <c r="R483" s="498"/>
      <c r="S483" s="498"/>
      <c r="T483" s="498"/>
      <c r="U483" s="498"/>
      <c r="V483" s="498"/>
      <c r="W483" s="498"/>
      <c r="X483" s="153"/>
      <c r="Y483" s="194"/>
    </row>
    <row r="484" spans="1:25" ht="21.95" customHeight="1" x14ac:dyDescent="0.2">
      <c r="A484" s="273" t="s">
        <v>3135</v>
      </c>
      <c r="B484" s="288" t="str">
        <f>IF(Q767&lt;&gt;"",Q767,"")</f>
        <v/>
      </c>
      <c r="C484" s="281">
        <f ca="1">VLOOKUP(A484,DB_TBL_DATA_FIELDS[[FIELD_ID]:[PCT_CALC_FIELD_STATUS_CODE]],22,FALSE)</f>
        <v>-1</v>
      </c>
      <c r="D484" s="281" t="str">
        <f>IF(VLOOKUP(A484,DB_TBL_DATA_FIELDS[[FIELD_ID]:[ERROR_MESSAGE]],23,FALSE)&lt;&gt;0,VLOOKUP(A484,DB_TBL_DATA_FIELDS[[FIELD_ID]:[ERROR_MESSAGE]],23,FALSE),"")</f>
        <v/>
      </c>
      <c r="E484" s="281">
        <f>VLOOKUP(A484,DB_TBL_DATA_FIELDS[[#All],[FIELD_ID]:[RANGE_VALIDATION_MAX]],18,FALSE)</f>
        <v>0</v>
      </c>
      <c r="F484" s="281">
        <f>VLOOKUP(A484,DB_TBL_DATA_FIELDS[[#All],[FIELD_ID]:[RANGE_VALIDATION_MAX]],19,FALSE)</f>
        <v>999999999999</v>
      </c>
      <c r="G484" s="281" t="str">
        <f t="shared" ca="1" si="49"/>
        <v/>
      </c>
      <c r="H484" s="215"/>
      <c r="I484" s="498"/>
      <c r="J484" s="498"/>
      <c r="K484" s="498"/>
      <c r="L484" s="498"/>
      <c r="M484" s="498"/>
      <c r="N484" s="498"/>
      <c r="O484" s="498"/>
      <c r="P484" s="498"/>
      <c r="Q484" s="498"/>
      <c r="R484" s="498"/>
      <c r="S484" s="498"/>
      <c r="T484" s="498"/>
      <c r="U484" s="498"/>
      <c r="V484" s="498"/>
      <c r="W484" s="498"/>
      <c r="X484" s="153"/>
      <c r="Y484" s="194"/>
    </row>
    <row r="485" spans="1:25" ht="21.95" customHeight="1" x14ac:dyDescent="0.2">
      <c r="A485" s="273" t="s">
        <v>3137</v>
      </c>
      <c r="B485" s="288" t="str">
        <f>IF(W769="","",IF(UPPER(W769)="YES",TRUE,FALSE))</f>
        <v/>
      </c>
      <c r="C485" s="281">
        <f ca="1">VLOOKUP(A485,DB_TBL_DATA_FIELDS[[FIELD_ID]:[PCT_CALC_FIELD_STATUS_CODE]],22,FALSE)</f>
        <v>-1</v>
      </c>
      <c r="D485" s="281" t="str">
        <f>IF(VLOOKUP(A485,DB_TBL_DATA_FIELDS[[FIELD_ID]:[ERROR_MESSAGE]],23,FALSE)&lt;&gt;0,VLOOKUP(A485,DB_TBL_DATA_FIELDS[[FIELD_ID]:[ERROR_MESSAGE]],23,FALSE),"")</f>
        <v/>
      </c>
      <c r="E485" s="281">
        <f>VLOOKUP(A485,DB_TBL_DATA_FIELDS[[#All],[FIELD_ID]:[RANGE_VALIDATION_MAX]],18,FALSE)</f>
        <v>0</v>
      </c>
      <c r="F485" s="281">
        <f>VLOOKUP(A485,DB_TBL_DATA_FIELDS[[#All],[FIELD_ID]:[RANGE_VALIDATION_MAX]],19,FALSE)</f>
        <v>1</v>
      </c>
      <c r="G485" s="281" t="str">
        <f t="shared" ca="1" si="49"/>
        <v/>
      </c>
      <c r="H485" s="215"/>
      <c r="I485" s="563" t="s">
        <v>3360</v>
      </c>
      <c r="J485" s="563"/>
      <c r="K485" s="563"/>
      <c r="L485" s="563"/>
      <c r="M485" s="563"/>
      <c r="N485" s="563"/>
      <c r="O485" s="563"/>
      <c r="P485" s="563"/>
      <c r="Q485" s="563"/>
      <c r="R485" s="563"/>
      <c r="S485" s="563"/>
      <c r="T485" s="563"/>
      <c r="U485" s="563"/>
      <c r="V485" s="563"/>
      <c r="W485" s="563"/>
      <c r="X485" s="153"/>
      <c r="Y485" s="194"/>
    </row>
    <row r="486" spans="1:25" ht="21.95" customHeight="1" x14ac:dyDescent="0.2">
      <c r="A486" s="273" t="s">
        <v>3139</v>
      </c>
      <c r="B486" s="288" t="str">
        <f>IF(I772&lt;&gt;"",I772,"")</f>
        <v/>
      </c>
      <c r="C486" s="281">
        <f ca="1">VLOOKUP(A486,DB_TBL_DATA_FIELDS[[FIELD_ID]:[PCT_CALC_FIELD_STATUS_CODE]],22,FALSE)</f>
        <v>-1</v>
      </c>
      <c r="D486" s="281" t="str">
        <f>IF(VLOOKUP(A486,DB_TBL_DATA_FIELDS[[FIELD_ID]:[ERROR_MESSAGE]],23,FALSE)&lt;&gt;0,VLOOKUP(A486,DB_TBL_DATA_FIELDS[[FIELD_ID]:[ERROR_MESSAGE]],23,FALSE),"")</f>
        <v/>
      </c>
      <c r="E486" s="281">
        <f>VLOOKUP(A486,DB_TBL_DATA_FIELDS[[#All],[FIELD_ID]:[RANGE_VALIDATION_MAX]],18,FALSE)</f>
        <v>0</v>
      </c>
      <c r="F486" s="281">
        <f>VLOOKUP(A486,DB_TBL_DATA_FIELDS[[#All],[FIELD_ID]:[RANGE_VALIDATION_MAX]],19,FALSE)</f>
        <v>1000</v>
      </c>
      <c r="G486" s="281" t="str">
        <f t="shared" ca="1" si="49"/>
        <v/>
      </c>
      <c r="H486" s="215"/>
      <c r="I486" s="563"/>
      <c r="J486" s="563"/>
      <c r="K486" s="563"/>
      <c r="L486" s="563"/>
      <c r="M486" s="563"/>
      <c r="N486" s="563"/>
      <c r="O486" s="563"/>
      <c r="P486" s="563"/>
      <c r="Q486" s="563"/>
      <c r="R486" s="563"/>
      <c r="S486" s="563"/>
      <c r="T486" s="563"/>
      <c r="U486" s="563"/>
      <c r="V486" s="563"/>
      <c r="W486" s="563"/>
      <c r="X486" s="153"/>
      <c r="Y486" s="194"/>
    </row>
    <row r="487" spans="1:25" ht="21.95" customHeight="1" x14ac:dyDescent="0.2">
      <c r="A487" s="307" t="s">
        <v>3141</v>
      </c>
      <c r="B487" s="308"/>
      <c r="C487" s="309"/>
      <c r="D487" s="309"/>
      <c r="E487" s="309"/>
      <c r="F487" s="309"/>
      <c r="G487" s="309"/>
      <c r="H487" s="215"/>
      <c r="I487" s="563"/>
      <c r="J487" s="563"/>
      <c r="K487" s="563"/>
      <c r="L487" s="563"/>
      <c r="M487" s="563"/>
      <c r="N487" s="563"/>
      <c r="O487" s="563"/>
      <c r="P487" s="563"/>
      <c r="Q487" s="563"/>
      <c r="R487" s="563"/>
      <c r="S487" s="563"/>
      <c r="T487" s="563"/>
      <c r="U487" s="563"/>
      <c r="V487" s="563"/>
      <c r="W487" s="563"/>
      <c r="X487" s="153"/>
      <c r="Y487" s="194"/>
    </row>
    <row r="488" spans="1:25" ht="21.95" customHeight="1" x14ac:dyDescent="0.2">
      <c r="A488" s="307" t="s">
        <v>3143</v>
      </c>
      <c r="B488" s="308"/>
      <c r="C488" s="309"/>
      <c r="D488" s="309"/>
      <c r="E488" s="309"/>
      <c r="F488" s="309"/>
      <c r="G488" s="309"/>
      <c r="H488" s="215"/>
      <c r="I488" s="563"/>
      <c r="J488" s="563"/>
      <c r="K488" s="563"/>
      <c r="L488" s="563"/>
      <c r="M488" s="563"/>
      <c r="N488" s="563"/>
      <c r="O488" s="563"/>
      <c r="P488" s="563"/>
      <c r="Q488" s="563"/>
      <c r="R488" s="563"/>
      <c r="S488" s="563"/>
      <c r="T488" s="563"/>
      <c r="U488" s="563"/>
      <c r="V488" s="563"/>
      <c r="W488" s="563"/>
      <c r="X488" s="153"/>
      <c r="Y488" s="194"/>
    </row>
    <row r="489" spans="1:25" ht="21.95" customHeight="1" x14ac:dyDescent="0.2">
      <c r="A489" s="273" t="s">
        <v>3145</v>
      </c>
      <c r="B489" s="288" t="str">
        <f>IF(I778&lt;&gt;"",I778,"")</f>
        <v/>
      </c>
      <c r="C489" s="281">
        <f ca="1">VLOOKUP(A489,DB_TBL_DATA_FIELDS[[FIELD_ID]:[PCT_CALC_FIELD_STATUS_CODE]],22,FALSE)</f>
        <v>1</v>
      </c>
      <c r="D489" s="281" t="str">
        <f ca="1">IF(VLOOKUP(A489,DB_TBL_DATA_FIELDS[[FIELD_ID]:[ERROR_MESSAGE]],23,FALSE)&lt;&gt;0,VLOOKUP(A489,DB_TBL_DATA_FIELDS[[FIELD_ID]:[ERROR_MESSAGE]],23,FALSE),"")</f>
        <v/>
      </c>
      <c r="E489" s="281">
        <f>VLOOKUP(A489,DB_TBL_DATA_FIELDS[[#All],[FIELD_ID]:[RANGE_VALIDATION_MAX]],18,FALSE)</f>
        <v>0</v>
      </c>
      <c r="F489" s="281">
        <f>VLOOKUP(A489,DB_TBL_DATA_FIELDS[[#All],[FIELD_ID]:[RANGE_VALIDATION_MAX]],19,FALSE)</f>
        <v>999999999999</v>
      </c>
      <c r="G489" s="281">
        <f t="shared" ca="1" si="49"/>
        <v>1</v>
      </c>
      <c r="H489" s="215"/>
      <c r="I489" s="563"/>
      <c r="J489" s="563"/>
      <c r="K489" s="563"/>
      <c r="L489" s="563"/>
      <c r="M489" s="563"/>
      <c r="N489" s="563"/>
      <c r="O489" s="563"/>
      <c r="P489" s="563"/>
      <c r="Q489" s="563"/>
      <c r="R489" s="563"/>
      <c r="S489" s="563"/>
      <c r="T489" s="563"/>
      <c r="U489" s="563"/>
      <c r="V489" s="563"/>
      <c r="W489" s="563"/>
      <c r="X489" s="153"/>
      <c r="Y489" s="194"/>
    </row>
    <row r="490" spans="1:25" ht="21.95" customHeight="1" x14ac:dyDescent="0.2">
      <c r="A490" s="273" t="s">
        <v>3146</v>
      </c>
      <c r="B490" s="288" t="str">
        <f>IF(Q778&lt;&gt;"",Q778,"")</f>
        <v/>
      </c>
      <c r="C490" s="281">
        <f ca="1">VLOOKUP(A490,DB_TBL_DATA_FIELDS[[FIELD_ID]:[PCT_CALC_FIELD_STATUS_CODE]],22,FALSE)</f>
        <v>-1</v>
      </c>
      <c r="D490" s="281" t="str">
        <f>IF(VLOOKUP(A490,DB_TBL_DATA_FIELDS[[FIELD_ID]:[ERROR_MESSAGE]],23,FALSE)&lt;&gt;0,VLOOKUP(A490,DB_TBL_DATA_FIELDS[[FIELD_ID]:[ERROR_MESSAGE]],23,FALSE),"")</f>
        <v/>
      </c>
      <c r="E490" s="281">
        <f>VLOOKUP(A490,DB_TBL_DATA_FIELDS[[#All],[FIELD_ID]:[RANGE_VALIDATION_MAX]],18,FALSE)</f>
        <v>0</v>
      </c>
      <c r="F490" s="281">
        <f>VLOOKUP(A490,DB_TBL_DATA_FIELDS[[#All],[FIELD_ID]:[RANGE_VALIDATION_MAX]],19,FALSE)</f>
        <v>32767</v>
      </c>
      <c r="G490" s="281" t="str">
        <f t="shared" ca="1" si="49"/>
        <v/>
      </c>
      <c r="H490" s="215"/>
      <c r="I490" s="563"/>
      <c r="J490" s="563"/>
      <c r="K490" s="563"/>
      <c r="L490" s="563"/>
      <c r="M490" s="563"/>
      <c r="N490" s="563"/>
      <c r="O490" s="563"/>
      <c r="P490" s="563"/>
      <c r="Q490" s="563"/>
      <c r="R490" s="563"/>
      <c r="S490" s="563"/>
      <c r="T490" s="563"/>
      <c r="U490" s="563"/>
      <c r="V490" s="563"/>
      <c r="W490" s="563"/>
      <c r="X490" s="153"/>
      <c r="Y490" s="194"/>
    </row>
    <row r="491" spans="1:25" ht="21.95" customHeight="1" x14ac:dyDescent="0.2">
      <c r="A491" s="273" t="s">
        <v>3147</v>
      </c>
      <c r="B491" s="288" t="str">
        <f>IF(I782&lt;&gt;"",I782,"")</f>
        <v/>
      </c>
      <c r="C491" s="281">
        <f ca="1">VLOOKUP(A491,DB_TBL_DATA_FIELDS[[FIELD_ID]:[PCT_CALC_FIELD_STATUS_CODE]],22,FALSE)</f>
        <v>-1</v>
      </c>
      <c r="D491" s="281" t="str">
        <f>IF(VLOOKUP(A491,DB_TBL_DATA_FIELDS[[FIELD_ID]:[ERROR_MESSAGE]],23,FALSE)&lt;&gt;0,VLOOKUP(A491,DB_TBL_DATA_FIELDS[[FIELD_ID]:[ERROR_MESSAGE]],23,FALSE),"")</f>
        <v/>
      </c>
      <c r="E491" s="281">
        <f>VLOOKUP(A491,DB_TBL_DATA_FIELDS[[#All],[FIELD_ID]:[RANGE_VALIDATION_MAX]],18,FALSE)</f>
        <v>0</v>
      </c>
      <c r="F491" s="281">
        <f>VLOOKUP(A491,DB_TBL_DATA_FIELDS[[#All],[FIELD_ID]:[RANGE_VALIDATION_MAX]],19,FALSE)</f>
        <v>32767</v>
      </c>
      <c r="G491" s="281" t="str">
        <f t="shared" ca="1" si="49"/>
        <v/>
      </c>
      <c r="H491" s="215"/>
      <c r="I491" s="563"/>
      <c r="J491" s="563"/>
      <c r="K491" s="563"/>
      <c r="L491" s="563"/>
      <c r="M491" s="563"/>
      <c r="N491" s="563"/>
      <c r="O491" s="563"/>
      <c r="P491" s="563"/>
      <c r="Q491" s="563"/>
      <c r="R491" s="563"/>
      <c r="S491" s="563"/>
      <c r="T491" s="563"/>
      <c r="U491" s="563"/>
      <c r="V491" s="563"/>
      <c r="W491" s="563"/>
      <c r="X491" s="153"/>
      <c r="Y491" s="194"/>
    </row>
    <row r="492" spans="1:25" ht="21.95" customHeight="1" x14ac:dyDescent="0.2">
      <c r="A492" s="273" t="s">
        <v>3148</v>
      </c>
      <c r="B492" s="288" t="str">
        <f>IF(Q782&lt;&gt;"",Q782,"")</f>
        <v/>
      </c>
      <c r="C492" s="281">
        <f ca="1">VLOOKUP(A492,DB_TBL_DATA_FIELDS[[FIELD_ID]:[PCT_CALC_FIELD_STATUS_CODE]],22,FALSE)</f>
        <v>-1</v>
      </c>
      <c r="D492" s="281" t="str">
        <f>IF(VLOOKUP(A492,DB_TBL_DATA_FIELDS[[FIELD_ID]:[ERROR_MESSAGE]],23,FALSE)&lt;&gt;0,VLOOKUP(A492,DB_TBL_DATA_FIELDS[[FIELD_ID]:[ERROR_MESSAGE]],23,FALSE),"")</f>
        <v/>
      </c>
      <c r="E492" s="281">
        <f>VLOOKUP(A492,DB_TBL_DATA_FIELDS[[#All],[FIELD_ID]:[RANGE_VALIDATION_MAX]],18,FALSE)</f>
        <v>0</v>
      </c>
      <c r="F492" s="281">
        <f>VLOOKUP(A492,DB_TBL_DATA_FIELDS[[#All],[FIELD_ID]:[RANGE_VALIDATION_MAX]],19,FALSE)</f>
        <v>32767</v>
      </c>
      <c r="G492" s="281" t="str">
        <f t="shared" ca="1" si="49"/>
        <v/>
      </c>
      <c r="H492" s="215"/>
      <c r="I492" s="194"/>
      <c r="J492" s="153"/>
      <c r="K492" s="194"/>
      <c r="L492" s="153"/>
      <c r="M492" s="194"/>
      <c r="N492" s="153"/>
      <c r="O492" s="194"/>
      <c r="P492" s="153"/>
      <c r="Q492" s="194"/>
      <c r="R492" s="153"/>
      <c r="S492" s="194"/>
      <c r="T492" s="153"/>
      <c r="U492" s="194"/>
      <c r="V492" s="153"/>
      <c r="W492" s="194"/>
      <c r="X492" s="153"/>
      <c r="Y492" s="194"/>
    </row>
    <row r="493" spans="1:25" ht="21.95" customHeight="1" x14ac:dyDescent="0.2">
      <c r="A493" s="273" t="s">
        <v>3149</v>
      </c>
      <c r="B493" s="288" t="str">
        <f>IF(I784&lt;&gt;"",I784,"")</f>
        <v/>
      </c>
      <c r="C493" s="281">
        <f ca="1">VLOOKUP(A493,DB_TBL_DATA_FIELDS[[FIELD_ID]:[PCT_CALC_FIELD_STATUS_CODE]],22,FALSE)</f>
        <v>-1</v>
      </c>
      <c r="D493" s="281" t="str">
        <f>IF(VLOOKUP(A493,DB_TBL_DATA_FIELDS[[FIELD_ID]:[ERROR_MESSAGE]],23,FALSE)&lt;&gt;0,VLOOKUP(A493,DB_TBL_DATA_FIELDS[[FIELD_ID]:[ERROR_MESSAGE]],23,FALSE),"")</f>
        <v/>
      </c>
      <c r="E493" s="281">
        <f>VLOOKUP(A493,DB_TBL_DATA_FIELDS[[#All],[FIELD_ID]:[RANGE_VALIDATION_MAX]],18,FALSE)</f>
        <v>0</v>
      </c>
      <c r="F493" s="281">
        <f>VLOOKUP(A493,DB_TBL_DATA_FIELDS[[#All],[FIELD_ID]:[RANGE_VALIDATION_MAX]],19,FALSE)</f>
        <v>32767</v>
      </c>
      <c r="G493" s="281" t="str">
        <f t="shared" ca="1" si="49"/>
        <v/>
      </c>
      <c r="H493" s="215"/>
      <c r="I493" s="207" t="s">
        <v>3361</v>
      </c>
      <c r="J493" s="207"/>
      <c r="K493" s="207"/>
      <c r="L493" s="207"/>
      <c r="M493" s="207"/>
      <c r="N493" s="207"/>
      <c r="O493" s="207"/>
      <c r="P493" s="207"/>
      <c r="Q493" s="207"/>
      <c r="R493" s="207"/>
      <c r="S493" s="207"/>
      <c r="T493" s="207"/>
      <c r="U493" s="482"/>
      <c r="V493" s="483"/>
      <c r="W493" s="484"/>
      <c r="X493" s="165" t="str">
        <f ca="1">G446</f>
        <v/>
      </c>
      <c r="Y493" s="194"/>
    </row>
    <row r="494" spans="1:25" ht="21.95" customHeight="1" x14ac:dyDescent="0.2">
      <c r="A494" s="273" t="s">
        <v>3150</v>
      </c>
      <c r="B494" s="288" t="str">
        <f>IF(Q784&lt;&gt;"",Q784,"")</f>
        <v/>
      </c>
      <c r="C494" s="281">
        <f ca="1">VLOOKUP(A494,DB_TBL_DATA_FIELDS[[FIELD_ID]:[PCT_CALC_FIELD_STATUS_CODE]],22,FALSE)</f>
        <v>-1</v>
      </c>
      <c r="D494" s="281" t="str">
        <f>IF(VLOOKUP(A494,DB_TBL_DATA_FIELDS[[FIELD_ID]:[ERROR_MESSAGE]],23,FALSE)&lt;&gt;0,VLOOKUP(A494,DB_TBL_DATA_FIELDS[[FIELD_ID]:[ERROR_MESSAGE]],23,FALSE),"")</f>
        <v/>
      </c>
      <c r="E494" s="281">
        <f>VLOOKUP(A494,DB_TBL_DATA_FIELDS[[#All],[FIELD_ID]:[RANGE_VALIDATION_MAX]],18,FALSE)</f>
        <v>0</v>
      </c>
      <c r="F494" s="281">
        <f>VLOOKUP(A494,DB_TBL_DATA_FIELDS[[#All],[FIELD_ID]:[RANGE_VALIDATION_MAX]],19,FALSE)</f>
        <v>999999999999</v>
      </c>
      <c r="G494" s="281" t="str">
        <f t="shared" ca="1" si="49"/>
        <v/>
      </c>
      <c r="H494" s="215"/>
      <c r="I494" s="194"/>
      <c r="J494" s="153"/>
      <c r="K494" s="194"/>
      <c r="L494" s="153"/>
      <c r="M494" s="194"/>
      <c r="N494" s="153"/>
      <c r="O494" s="194"/>
      <c r="P494" s="153"/>
      <c r="Q494" s="194"/>
      <c r="R494" s="153"/>
      <c r="S494" s="194"/>
      <c r="T494" s="153"/>
      <c r="U494" s="488" t="str">
        <f ca="1">D446</f>
        <v/>
      </c>
      <c r="V494" s="489"/>
      <c r="W494" s="489"/>
      <c r="X494" s="153"/>
      <c r="Y494" s="194"/>
    </row>
    <row r="495" spans="1:25" ht="21.95" customHeight="1" x14ac:dyDescent="0.2">
      <c r="A495" s="273" t="s">
        <v>3151</v>
      </c>
      <c r="B495" s="288" t="str">
        <f>IF(W786="","",IF(UPPER(W786)="YES",TRUE,FALSE))</f>
        <v/>
      </c>
      <c r="C495" s="281">
        <f ca="1">VLOOKUP(A495,DB_TBL_DATA_FIELDS[[FIELD_ID]:[PCT_CALC_FIELD_STATUS_CODE]],22,FALSE)</f>
        <v>-1</v>
      </c>
      <c r="D495" s="281" t="str">
        <f>IF(VLOOKUP(A495,DB_TBL_DATA_FIELDS[[FIELD_ID]:[ERROR_MESSAGE]],23,FALSE)&lt;&gt;0,VLOOKUP(A495,DB_TBL_DATA_FIELDS[[FIELD_ID]:[ERROR_MESSAGE]],23,FALSE),"")</f>
        <v/>
      </c>
      <c r="E495" s="281">
        <f>VLOOKUP(A495,DB_TBL_DATA_FIELDS[[#All],[FIELD_ID]:[RANGE_VALIDATION_MAX]],18,FALSE)</f>
        <v>0</v>
      </c>
      <c r="F495" s="281">
        <f>VLOOKUP(A495,DB_TBL_DATA_FIELDS[[#All],[FIELD_ID]:[RANGE_VALIDATION_MAX]],19,FALSE)</f>
        <v>1</v>
      </c>
      <c r="G495" s="281" t="str">
        <f t="shared" ca="1" si="49"/>
        <v/>
      </c>
      <c r="H495" s="215"/>
      <c r="I495" s="194"/>
      <c r="J495" s="153"/>
      <c r="K495" s="194"/>
      <c r="L495" s="153"/>
      <c r="M495" s="194"/>
      <c r="N495" s="153"/>
      <c r="O495" s="194"/>
      <c r="P495" s="153"/>
      <c r="Q495" s="194"/>
      <c r="R495" s="153"/>
      <c r="S495" s="194"/>
      <c r="T495" s="153"/>
      <c r="U495" s="194"/>
      <c r="V495" s="153"/>
      <c r="W495" s="194"/>
      <c r="X495" s="153"/>
      <c r="Y495" s="194"/>
    </row>
    <row r="496" spans="1:25" ht="21.95" customHeight="1" thickBot="1" x14ac:dyDescent="0.25">
      <c r="A496" s="273" t="s">
        <v>3152</v>
      </c>
      <c r="B496" s="288" t="str">
        <f>IF(I789&lt;&gt;"",I789,"")</f>
        <v/>
      </c>
      <c r="C496" s="281">
        <f ca="1">VLOOKUP(A496,DB_TBL_DATA_FIELDS[[FIELD_ID]:[PCT_CALC_FIELD_STATUS_CODE]],22,FALSE)</f>
        <v>-1</v>
      </c>
      <c r="D496" s="281" t="str">
        <f>IF(VLOOKUP(A496,DB_TBL_DATA_FIELDS[[FIELD_ID]:[ERROR_MESSAGE]],23,FALSE)&lt;&gt;0,VLOOKUP(A496,DB_TBL_DATA_FIELDS[[FIELD_ID]:[ERROR_MESSAGE]],23,FALSE),"")</f>
        <v/>
      </c>
      <c r="E496" s="281">
        <f>VLOOKUP(A496,DB_TBL_DATA_FIELDS[[#All],[FIELD_ID]:[RANGE_VALIDATION_MAX]],18,FALSE)</f>
        <v>0</v>
      </c>
      <c r="F496" s="281">
        <f>VLOOKUP(A496,DB_TBL_DATA_FIELDS[[#All],[FIELD_ID]:[RANGE_VALIDATION_MAX]],19,FALSE)</f>
        <v>1000</v>
      </c>
      <c r="G496" s="281" t="str">
        <f t="shared" ca="1" si="49"/>
        <v/>
      </c>
      <c r="H496" s="215"/>
      <c r="I496" s="424" t="str">
        <f>B366</f>
        <v>Housing for Homeless Households (Maximum Points: 6)</v>
      </c>
      <c r="J496" s="269"/>
      <c r="K496" s="269"/>
      <c r="L496" s="269"/>
      <c r="M496" s="269"/>
      <c r="N496" s="269"/>
      <c r="O496" s="269"/>
      <c r="P496" s="269"/>
      <c r="Q496" s="269"/>
      <c r="R496" s="269"/>
      <c r="S496" s="269"/>
      <c r="T496" s="269"/>
      <c r="U496" s="269"/>
      <c r="V496" s="269"/>
      <c r="W496" s="269"/>
      <c r="X496" s="167" t="str">
        <f ca="1">"Status: "&amp;$B$376</f>
        <v>Status: Not Started</v>
      </c>
      <c r="Y496" s="194"/>
    </row>
    <row r="497" spans="1:25" ht="21.95" customHeight="1" x14ac:dyDescent="0.2">
      <c r="A497" s="307" t="s">
        <v>3153</v>
      </c>
      <c r="B497" s="308"/>
      <c r="C497" s="309"/>
      <c r="D497" s="309"/>
      <c r="E497" s="309"/>
      <c r="F497" s="309"/>
      <c r="G497" s="309"/>
      <c r="H497" s="215"/>
      <c r="I497" s="194"/>
      <c r="J497" s="153"/>
      <c r="K497" s="194"/>
      <c r="L497" s="153"/>
      <c r="M497" s="194"/>
      <c r="N497" s="153"/>
      <c r="O497" s="194"/>
      <c r="P497" s="153"/>
      <c r="Q497" s="194"/>
      <c r="R497" s="153"/>
      <c r="S497" s="194"/>
      <c r="T497" s="153"/>
      <c r="U497" s="194"/>
      <c r="V497" s="153"/>
      <c r="W497" s="194"/>
      <c r="X497" s="153"/>
      <c r="Y497" s="194"/>
    </row>
    <row r="498" spans="1:25" ht="114" customHeight="1" x14ac:dyDescent="0.2">
      <c r="A498" s="307" t="s">
        <v>3154</v>
      </c>
      <c r="B498" s="308"/>
      <c r="C498" s="309"/>
      <c r="D498" s="309"/>
      <c r="E498" s="309"/>
      <c r="F498" s="309"/>
      <c r="G498" s="309"/>
      <c r="H498" s="215"/>
      <c r="I498" s="499" t="s">
        <v>3590</v>
      </c>
      <c r="J498" s="499"/>
      <c r="K498" s="499"/>
      <c r="L498" s="499"/>
      <c r="M498" s="499"/>
      <c r="N498" s="499"/>
      <c r="O498" s="499"/>
      <c r="P498" s="499"/>
      <c r="Q498" s="499"/>
      <c r="R498" s="499"/>
      <c r="S498" s="499"/>
      <c r="T498" s="499"/>
      <c r="U498" s="499"/>
      <c r="V498" s="499"/>
      <c r="W498" s="499"/>
      <c r="X498" s="153"/>
      <c r="Y498" s="194"/>
    </row>
    <row r="499" spans="1:25" ht="21.95" customHeight="1" x14ac:dyDescent="0.2">
      <c r="A499" s="307" t="s">
        <v>3165</v>
      </c>
      <c r="B499" s="308" t="str">
        <f>""</f>
        <v/>
      </c>
      <c r="C499" s="309">
        <f ca="1">VLOOKUP(A499,DB_TBL_DATA_FIELDS[[FIELD_ID]:[PCT_CALC_FIELD_STATUS_CODE]],22,FALSE)</f>
        <v>-1</v>
      </c>
      <c r="D499" s="309" t="str">
        <f>IF(VLOOKUP(A499,DB_TBL_DATA_FIELDS[[FIELD_ID]:[ERROR_MESSAGE]],23,FALSE)&lt;&gt;0,VLOOKUP(A499,DB_TBL_DATA_FIELDS[[FIELD_ID]:[ERROR_MESSAGE]],23,FALSE),"")</f>
        <v/>
      </c>
      <c r="E499" s="309">
        <f>VLOOKUP(A499,DB_TBL_DATA_FIELDS[[#All],[FIELD_ID]:[RANGE_VALIDATION_MAX]],18,FALSE)</f>
        <v>0</v>
      </c>
      <c r="F499" s="309">
        <f>VLOOKUP(A499,DB_TBL_DATA_FIELDS[[#All],[FIELD_ID]:[RANGE_VALIDATION_MAX]],19,FALSE)</f>
        <v>999999999999</v>
      </c>
      <c r="G499" s="309" t="str">
        <f t="shared" ca="1" si="49"/>
        <v/>
      </c>
      <c r="H499" s="215"/>
      <c r="I499" s="551" t="s">
        <v>3591</v>
      </c>
      <c r="J499" s="551"/>
      <c r="K499" s="551"/>
      <c r="L499" s="551"/>
      <c r="M499" s="551"/>
      <c r="N499" s="551"/>
      <c r="O499" s="551"/>
      <c r="P499" s="551"/>
      <c r="Q499" s="551"/>
      <c r="R499" s="551"/>
      <c r="S499" s="551"/>
      <c r="T499" s="551"/>
      <c r="U499" s="551"/>
      <c r="V499" s="551"/>
      <c r="W499" s="551"/>
      <c r="X499" s="153"/>
      <c r="Y499" s="194"/>
    </row>
    <row r="500" spans="1:25" ht="105" customHeight="1" x14ac:dyDescent="0.2">
      <c r="A500" s="307" t="s">
        <v>3168</v>
      </c>
      <c r="B500" s="308" t="str">
        <f>""</f>
        <v/>
      </c>
      <c r="C500" s="309">
        <f ca="1">VLOOKUP(A500,DB_TBL_DATA_FIELDS[[FIELD_ID]:[PCT_CALC_FIELD_STATUS_CODE]],22,FALSE)</f>
        <v>-1</v>
      </c>
      <c r="D500" s="309" t="str">
        <f>IF(VLOOKUP(A500,DB_TBL_DATA_FIELDS[[FIELD_ID]:[ERROR_MESSAGE]],23,FALSE)&lt;&gt;0,VLOOKUP(A500,DB_TBL_DATA_FIELDS[[FIELD_ID]:[ERROR_MESSAGE]],23,FALSE),"")</f>
        <v/>
      </c>
      <c r="E500" s="309">
        <f>VLOOKUP(A500,DB_TBL_DATA_FIELDS[[#All],[FIELD_ID]:[RANGE_VALIDATION_MAX]],18,FALSE)</f>
        <v>0</v>
      </c>
      <c r="F500" s="309">
        <f>VLOOKUP(A500,DB_TBL_DATA_FIELDS[[#All],[FIELD_ID]:[RANGE_VALIDATION_MAX]],19,FALSE)</f>
        <v>999999999999</v>
      </c>
      <c r="G500" s="309" t="str">
        <f t="shared" ca="1" si="49"/>
        <v/>
      </c>
      <c r="H500" s="215"/>
      <c r="I500" s="552" t="s">
        <v>3592</v>
      </c>
      <c r="J500" s="552"/>
      <c r="K500" s="552"/>
      <c r="L500" s="552"/>
      <c r="M500" s="552"/>
      <c r="N500" s="552"/>
      <c r="O500" s="552"/>
      <c r="P500" s="552"/>
      <c r="Q500" s="552"/>
      <c r="R500" s="552"/>
      <c r="S500" s="552"/>
      <c r="T500" s="552"/>
      <c r="U500" s="552"/>
      <c r="V500" s="552"/>
      <c r="W500" s="552"/>
      <c r="X500" s="153"/>
      <c r="Y500" s="194"/>
    </row>
    <row r="501" spans="1:25" ht="174.75" customHeight="1" x14ac:dyDescent="0.2">
      <c r="A501" s="273" t="s">
        <v>3169</v>
      </c>
      <c r="B501" s="288" t="str">
        <f>IF(W795&lt;&gt;"",W795,"")</f>
        <v/>
      </c>
      <c r="C501" s="281">
        <f ca="1">VLOOKUP(A501,DB_TBL_DATA_FIELDS[[FIELD_ID]:[PCT_CALC_FIELD_STATUS_CODE]],22,FALSE)</f>
        <v>-1</v>
      </c>
      <c r="D501" s="281" t="str">
        <f ca="1">IF(VLOOKUP(A501,DB_TBL_DATA_FIELDS[[FIELD_ID]:[ERROR_MESSAGE]],23,FALSE)&lt;&gt;0,VLOOKUP(A501,DB_TBL_DATA_FIELDS[[FIELD_ID]:[ERROR_MESSAGE]],23,FALSE),"")</f>
        <v/>
      </c>
      <c r="E501" s="281">
        <f>VLOOKUP(A501,DB_TBL_DATA_FIELDS[[#All],[FIELD_ID]:[RANGE_VALIDATION_MAX]],18,FALSE)</f>
        <v>0</v>
      </c>
      <c r="F501" s="281">
        <f>VLOOKUP(A501,DB_TBL_DATA_FIELDS[[#All],[FIELD_ID]:[RANGE_VALIDATION_MAX]],19,FALSE)</f>
        <v>999999999999</v>
      </c>
      <c r="G501" s="281" t="str">
        <f t="shared" ca="1" si="49"/>
        <v/>
      </c>
      <c r="H501" s="215"/>
      <c r="I501" s="553" t="s">
        <v>3593</v>
      </c>
      <c r="J501" s="553"/>
      <c r="K501" s="553"/>
      <c r="L501" s="553"/>
      <c r="M501" s="553"/>
      <c r="N501" s="553"/>
      <c r="O501" s="553"/>
      <c r="P501" s="553"/>
      <c r="Q501" s="553"/>
      <c r="R501" s="553"/>
      <c r="S501" s="553"/>
      <c r="T501" s="553"/>
      <c r="U501" s="553"/>
      <c r="V501" s="553"/>
      <c r="W501" s="553"/>
      <c r="X501" s="153"/>
      <c r="Y501" s="194"/>
    </row>
    <row r="502" spans="1:25" ht="245.25" customHeight="1" x14ac:dyDescent="0.2">
      <c r="A502" s="273" t="s">
        <v>3172</v>
      </c>
      <c r="B502" s="288" t="str">
        <f>IF(U797&lt;&gt;"",U797,"")</f>
        <v/>
      </c>
      <c r="C502" s="281">
        <f ca="1">VLOOKUP(A502,DB_TBL_DATA_FIELDS[[FIELD_ID]:[PCT_CALC_FIELD_STATUS_CODE]],22,FALSE)</f>
        <v>-1</v>
      </c>
      <c r="D502" s="281" t="str">
        <f>IF(VLOOKUP(A502,DB_TBL_DATA_FIELDS[[FIELD_ID]:[ERROR_MESSAGE]],23,FALSE)&lt;&gt;0,VLOOKUP(A502,DB_TBL_DATA_FIELDS[[FIELD_ID]:[ERROR_MESSAGE]],23,FALSE),"")</f>
        <v/>
      </c>
      <c r="E502" s="281">
        <f>VLOOKUP(A502,DB_TBL_DATA_FIELDS[[#All],[FIELD_ID]:[RANGE_VALIDATION_MAX]],18,FALSE)</f>
        <v>0</v>
      </c>
      <c r="F502" s="281">
        <f>VLOOKUP(A502,DB_TBL_DATA_FIELDS[[#All],[FIELD_ID]:[RANGE_VALIDATION_MAX]],19,FALSE)</f>
        <v>32767</v>
      </c>
      <c r="G502" s="281" t="str">
        <f t="shared" ca="1" si="49"/>
        <v/>
      </c>
      <c r="H502" s="215"/>
      <c r="I502" s="499" t="s">
        <v>3594</v>
      </c>
      <c r="J502" s="499"/>
      <c r="K502" s="499"/>
      <c r="L502" s="499"/>
      <c r="M502" s="499"/>
      <c r="N502" s="499"/>
      <c r="O502" s="499"/>
      <c r="P502" s="499"/>
      <c r="Q502" s="499"/>
      <c r="R502" s="499"/>
      <c r="S502" s="499"/>
      <c r="T502" s="499"/>
      <c r="U502" s="499"/>
      <c r="V502" s="499"/>
      <c r="W502" s="499"/>
      <c r="X502" s="153"/>
      <c r="Y502" s="194"/>
    </row>
    <row r="503" spans="1:25" ht="21.95" customHeight="1" x14ac:dyDescent="0.2">
      <c r="A503" s="273" t="s">
        <v>3170</v>
      </c>
      <c r="B503" s="288" t="str">
        <f>IF(W800&lt;&gt;"",W800,"")</f>
        <v/>
      </c>
      <c r="C503" s="281">
        <f ca="1">VLOOKUP(A503,DB_TBL_DATA_FIELDS[[FIELD_ID]:[PCT_CALC_FIELD_STATUS_CODE]],22,FALSE)</f>
        <v>-1</v>
      </c>
      <c r="D503" s="281" t="str">
        <f ca="1">IF(VLOOKUP(A503,DB_TBL_DATA_FIELDS[[FIELD_ID]:[ERROR_MESSAGE]],23,FALSE)&lt;&gt;0,VLOOKUP(A503,DB_TBL_DATA_FIELDS[[FIELD_ID]:[ERROR_MESSAGE]],23,FALSE),"")</f>
        <v/>
      </c>
      <c r="E503" s="281">
        <f>VLOOKUP(A503,DB_TBL_DATA_FIELDS[[#All],[FIELD_ID]:[RANGE_VALIDATION_MAX]],18,FALSE)</f>
        <v>0</v>
      </c>
      <c r="F503" s="281">
        <f>VLOOKUP(A503,DB_TBL_DATA_FIELDS[[#All],[FIELD_ID]:[RANGE_VALIDATION_MAX]],19,FALSE)</f>
        <v>999999999999</v>
      </c>
      <c r="G503" s="281" t="str">
        <f t="shared" ca="1" si="49"/>
        <v/>
      </c>
      <c r="H503" s="215"/>
      <c r="I503" s="244"/>
      <c r="J503" s="244"/>
      <c r="K503" s="244"/>
      <c r="L503" s="244"/>
      <c r="M503" s="244"/>
      <c r="N503" s="244"/>
      <c r="O503" s="244"/>
      <c r="P503" s="244"/>
      <c r="Q503" s="244"/>
      <c r="R503" s="244"/>
      <c r="S503" s="244"/>
      <c r="T503" s="244"/>
      <c r="U503" s="244"/>
      <c r="V503" s="244"/>
      <c r="W503" s="244"/>
      <c r="X503" s="153"/>
      <c r="Y503" s="194"/>
    </row>
    <row r="504" spans="1:25" ht="21.95" customHeight="1" x14ac:dyDescent="0.2">
      <c r="A504" s="273" t="s">
        <v>3171</v>
      </c>
      <c r="B504" s="288" t="str">
        <f>IF(U802&lt;&gt;"",U802,"")</f>
        <v/>
      </c>
      <c r="C504" s="281">
        <f ca="1">VLOOKUP(A504,DB_TBL_DATA_FIELDS[[FIELD_ID]:[PCT_CALC_FIELD_STATUS_CODE]],22,FALSE)</f>
        <v>-1</v>
      </c>
      <c r="D504" s="281" t="str">
        <f>IF(VLOOKUP(A504,DB_TBL_DATA_FIELDS[[FIELD_ID]:[ERROR_MESSAGE]],23,FALSE)&lt;&gt;0,VLOOKUP(A504,DB_TBL_DATA_FIELDS[[FIELD_ID]:[ERROR_MESSAGE]],23,FALSE),"")</f>
        <v/>
      </c>
      <c r="E504" s="281">
        <f>VLOOKUP(A504,DB_TBL_DATA_FIELDS[[#All],[FIELD_ID]:[RANGE_VALIDATION_MAX]],18,FALSE)</f>
        <v>0</v>
      </c>
      <c r="F504" s="281">
        <f>VLOOKUP(A504,DB_TBL_DATA_FIELDS[[#All],[FIELD_ID]:[RANGE_VALIDATION_MAX]],19,FALSE)</f>
        <v>32767</v>
      </c>
      <c r="G504" s="281" t="str">
        <f t="shared" ca="1" si="49"/>
        <v/>
      </c>
      <c r="H504" s="215"/>
      <c r="I504" s="499" t="s">
        <v>3031</v>
      </c>
      <c r="J504" s="498"/>
      <c r="K504" s="498"/>
      <c r="L504" s="498"/>
      <c r="M504" s="498"/>
      <c r="N504" s="498"/>
      <c r="O504" s="498"/>
      <c r="P504" s="498"/>
      <c r="Q504" s="498"/>
      <c r="R504" s="498"/>
      <c r="S504" s="498"/>
      <c r="T504" s="498"/>
      <c r="U504" s="498"/>
      <c r="V504" s="204"/>
      <c r="W504" s="230"/>
      <c r="X504" s="165">
        <f ca="1">G367</f>
        <v>1</v>
      </c>
      <c r="Y504" s="194"/>
    </row>
    <row r="505" spans="1:25" ht="21.95" customHeight="1" x14ac:dyDescent="0.2">
      <c r="A505" s="273" t="s">
        <v>3122</v>
      </c>
      <c r="B505" s="288" t="str">
        <f>IF(W809&lt;&gt;"",W809,"")</f>
        <v/>
      </c>
      <c r="C505" s="281" t="str">
        <f ca="1">VLOOKUP(A505,DB_TBL_DATA_FIELDS[[FIELD_ID]:[PCT_CALC_FIELD_STATUS_CODE]],22,FALSE)</f>
        <v/>
      </c>
      <c r="D505" s="281" t="str">
        <f ca="1">IF(VLOOKUP(A505,DB_TBL_DATA_FIELDS[[FIELD_ID]:[ERROR_MESSAGE]],23,FALSE)&lt;&gt;0,VLOOKUP(A505,DB_TBL_DATA_FIELDS[[FIELD_ID]:[ERROR_MESSAGE]],23,FALSE),"")</f>
        <v/>
      </c>
      <c r="E505" s="281">
        <f>VLOOKUP(A505,DB_TBL_DATA_FIELDS[[#All],[FIELD_ID]:[RANGE_VALIDATION_MAX]],18,FALSE)</f>
        <v>0</v>
      </c>
      <c r="F505" s="281">
        <f>VLOOKUP(A505,DB_TBL_DATA_FIELDS[[#All],[FIELD_ID]:[RANGE_VALIDATION_MAX]],19,FALSE)</f>
        <v>999999999999</v>
      </c>
      <c r="G505" s="281" t="str">
        <f t="shared" ref="G505" ca="1" si="50">IF(C505&lt;0,"",C505)</f>
        <v/>
      </c>
      <c r="H505" s="215"/>
      <c r="I505" s="187"/>
      <c r="J505" s="187"/>
      <c r="K505" s="187"/>
      <c r="L505" s="187"/>
      <c r="M505" s="187"/>
      <c r="N505" s="187"/>
      <c r="O505" s="187"/>
      <c r="P505" s="187"/>
      <c r="Q505" s="187"/>
      <c r="R505" s="187"/>
      <c r="S505" s="187"/>
      <c r="T505" s="193"/>
      <c r="U505" s="488" t="str">
        <f ca="1">D367</f>
        <v/>
      </c>
      <c r="V505" s="489"/>
      <c r="W505" s="489"/>
      <c r="X505" s="153"/>
      <c r="Y505" s="194"/>
    </row>
    <row r="506" spans="1:25" ht="21.95" customHeight="1" x14ac:dyDescent="0.2">
      <c r="A506" s="290" t="s">
        <v>3350</v>
      </c>
      <c r="B506" s="282" t="str">
        <f>"C"&amp;MATCH(LEFT(A506,LEN(A506)-LEN("_RANGE")),A:A,0)+1&amp;":C"&amp;(ROW()-1)</f>
        <v>C478:C505</v>
      </c>
      <c r="C506" s="281"/>
      <c r="D506" s="281"/>
      <c r="E506" s="281"/>
      <c r="F506" s="281"/>
      <c r="G506" s="281"/>
      <c r="H506" s="215"/>
      <c r="I506" s="194" t="s">
        <v>3544</v>
      </c>
      <c r="J506" s="348"/>
      <c r="K506" s="348"/>
      <c r="L506" s="348"/>
      <c r="M506" s="348"/>
      <c r="N506" s="348"/>
      <c r="O506" s="348"/>
      <c r="P506" s="348"/>
      <c r="Q506" s="348"/>
      <c r="R506" s="348"/>
      <c r="S506" s="348"/>
      <c r="T506" s="348"/>
      <c r="U506" s="348"/>
      <c r="V506" s="348"/>
      <c r="W506" s="348"/>
      <c r="X506" s="153"/>
      <c r="Y506" s="194"/>
    </row>
    <row r="507" spans="1:25" ht="21.95" customHeight="1" x14ac:dyDescent="0.2">
      <c r="A507" s="290" t="s">
        <v>3351</v>
      </c>
      <c r="B507" s="282">
        <f ca="1">COUNTIF(INDIRECT($B506),2)</f>
        <v>0</v>
      </c>
      <c r="C507" s="281"/>
      <c r="D507" s="281"/>
      <c r="E507" s="281"/>
      <c r="F507" s="281"/>
      <c r="G507" s="281"/>
      <c r="H507" s="215"/>
      <c r="I507" s="207" t="s">
        <v>3552</v>
      </c>
      <c r="J507" s="348"/>
      <c r="K507" s="348"/>
      <c r="L507" s="348"/>
      <c r="M507" s="348"/>
      <c r="N507" s="348"/>
      <c r="O507" s="348"/>
      <c r="P507" s="348"/>
      <c r="Q507" s="348"/>
      <c r="R507" s="348"/>
      <c r="S507" s="348"/>
      <c r="T507" s="348"/>
      <c r="U507" s="348"/>
      <c r="V507" s="348"/>
      <c r="W507" s="175" t="str">
        <f>SUBSTITUTE(SUBSTITUTE(SUBSTITUTE(IF(LEN(B368)&gt;F368,CONFIG_CHAR_LIMIT_TEMPLATE_ERR,CONFIG_CHAR_LIMIT_TEMPLATE),"[diff]",ABS(LEN(B368)-F368)),"[limit]",F368),"[used]",LEN(B368))</f>
        <v>2000 character(s) remaining</v>
      </c>
      <c r="X507" s="153"/>
      <c r="Y507" s="194"/>
    </row>
    <row r="508" spans="1:25" ht="21.95" customHeight="1" x14ac:dyDescent="0.2">
      <c r="A508" s="290" t="s">
        <v>3352</v>
      </c>
      <c r="B508" s="282">
        <f ca="1">COUNTIF(INDIRECT($B506),0)+COUNTIF(INDIRECT($B506),1)+COUNTIF(INDIRECT($B506),2)</f>
        <v>2</v>
      </c>
      <c r="C508" s="281"/>
      <c r="D508" s="281"/>
      <c r="E508" s="281"/>
      <c r="F508" s="281"/>
      <c r="G508" s="281"/>
      <c r="H508" s="215"/>
      <c r="I508" s="500"/>
      <c r="J508" s="501"/>
      <c r="K508" s="501"/>
      <c r="L508" s="501"/>
      <c r="M508" s="501"/>
      <c r="N508" s="501"/>
      <c r="O508" s="501"/>
      <c r="P508" s="501"/>
      <c r="Q508" s="501"/>
      <c r="R508" s="501"/>
      <c r="S508" s="501"/>
      <c r="T508" s="501"/>
      <c r="U508" s="501"/>
      <c r="V508" s="501"/>
      <c r="W508" s="502"/>
      <c r="X508" s="165" t="str">
        <f ca="1">G368</f>
        <v/>
      </c>
      <c r="Y508" s="194"/>
    </row>
    <row r="509" spans="1:25" ht="21.95" customHeight="1" x14ac:dyDescent="0.2">
      <c r="A509" s="290" t="s">
        <v>3353</v>
      </c>
      <c r="B509" s="282">
        <f ca="1">COUNTIF(INDIRECT($B506),0)</f>
        <v>0</v>
      </c>
      <c r="C509" s="281" t="s">
        <v>2607</v>
      </c>
      <c r="D509" s="281"/>
      <c r="E509" s="281"/>
      <c r="F509" s="281"/>
      <c r="G509" s="281"/>
      <c r="H509" s="215"/>
      <c r="I509" s="503"/>
      <c r="J509" s="504"/>
      <c r="K509" s="504"/>
      <c r="L509" s="504"/>
      <c r="M509" s="504"/>
      <c r="N509" s="504"/>
      <c r="O509" s="504"/>
      <c r="P509" s="504"/>
      <c r="Q509" s="504"/>
      <c r="R509" s="504"/>
      <c r="S509" s="504"/>
      <c r="T509" s="504"/>
      <c r="U509" s="504"/>
      <c r="V509" s="504"/>
      <c r="W509" s="505"/>
      <c r="X509" s="153"/>
      <c r="Y509" s="194"/>
    </row>
    <row r="510" spans="1:25" ht="21.95" customHeight="1" x14ac:dyDescent="0.2">
      <c r="A510" s="290" t="s">
        <v>3354</v>
      </c>
      <c r="B510" s="291">
        <f ca="1">IFERROR(B507/B508,1.01)</f>
        <v>0</v>
      </c>
      <c r="C510" s="281"/>
      <c r="D510" s="281"/>
      <c r="E510" s="281"/>
      <c r="F510" s="281"/>
      <c r="G510" s="281"/>
      <c r="H510" s="215"/>
      <c r="I510" s="503"/>
      <c r="J510" s="504"/>
      <c r="K510" s="504"/>
      <c r="L510" s="504"/>
      <c r="M510" s="504"/>
      <c r="N510" s="504"/>
      <c r="O510" s="504"/>
      <c r="P510" s="504"/>
      <c r="Q510" s="504"/>
      <c r="R510" s="504"/>
      <c r="S510" s="504"/>
      <c r="T510" s="504"/>
      <c r="U510" s="504"/>
      <c r="V510" s="504"/>
      <c r="W510" s="505"/>
      <c r="X510" s="153"/>
      <c r="Y510" s="194"/>
    </row>
    <row r="511" spans="1:25" ht="21.95" customHeight="1" x14ac:dyDescent="0.2">
      <c r="A511" s="290" t="s">
        <v>3355</v>
      </c>
      <c r="B511" s="292" t="str">
        <f ca="1">IF(B509&gt;0,"Data Error(s)",IF(B510=0,"Not Started",IF(B510&lt;1,ROUNDUP(B510*100,0)&amp;"% Done",IF(B510&gt;1,"Optional","Complete"))))</f>
        <v>Not Started</v>
      </c>
      <c r="C511" s="281"/>
      <c r="D511" s="281"/>
      <c r="E511" s="281"/>
      <c r="F511" s="281"/>
      <c r="G511" s="281"/>
      <c r="H511" s="215"/>
      <c r="I511" s="503"/>
      <c r="J511" s="504"/>
      <c r="K511" s="504"/>
      <c r="L511" s="504"/>
      <c r="M511" s="504"/>
      <c r="N511" s="504"/>
      <c r="O511" s="504"/>
      <c r="P511" s="504"/>
      <c r="Q511" s="504"/>
      <c r="R511" s="504"/>
      <c r="S511" s="504"/>
      <c r="T511" s="504"/>
      <c r="U511" s="504"/>
      <c r="V511" s="504"/>
      <c r="W511" s="505"/>
      <c r="X511" s="153"/>
      <c r="Y511" s="194"/>
    </row>
    <row r="512" spans="1:25" ht="21.95" customHeight="1" x14ac:dyDescent="0.2">
      <c r="A512" s="290" t="s">
        <v>3356</v>
      </c>
      <c r="B512" s="282" t="str">
        <f ca="1">IF(B509&gt;0,0,IF(B510&lt;1,"",2))</f>
        <v/>
      </c>
      <c r="C512" s="281"/>
      <c r="D512" s="281"/>
      <c r="E512" s="281"/>
      <c r="F512" s="281"/>
      <c r="G512" s="281"/>
      <c r="H512" s="215"/>
      <c r="I512" s="503"/>
      <c r="J512" s="504"/>
      <c r="K512" s="504"/>
      <c r="L512" s="504"/>
      <c r="M512" s="504"/>
      <c r="N512" s="504"/>
      <c r="O512" s="504"/>
      <c r="P512" s="504"/>
      <c r="Q512" s="504"/>
      <c r="R512" s="504"/>
      <c r="S512" s="504"/>
      <c r="T512" s="504"/>
      <c r="U512" s="504"/>
      <c r="V512" s="504"/>
      <c r="W512" s="505"/>
      <c r="X512" s="153"/>
      <c r="Y512" s="194"/>
    </row>
    <row r="513" spans="1:25" ht="21.95" customHeight="1" x14ac:dyDescent="0.2">
      <c r="A513" s="290" t="s">
        <v>3357</v>
      </c>
      <c r="B513" s="293" t="s">
        <v>3208</v>
      </c>
      <c r="C513" s="281"/>
      <c r="D513" s="281"/>
      <c r="E513" s="281"/>
      <c r="F513" s="281"/>
      <c r="G513" s="281"/>
      <c r="H513" s="215"/>
      <c r="I513" s="503"/>
      <c r="J513" s="504"/>
      <c r="K513" s="504"/>
      <c r="L513" s="504"/>
      <c r="M513" s="504"/>
      <c r="N513" s="504"/>
      <c r="O513" s="504"/>
      <c r="P513" s="504"/>
      <c r="Q513" s="504"/>
      <c r="R513" s="504"/>
      <c r="S513" s="504"/>
      <c r="T513" s="504"/>
      <c r="U513" s="504"/>
      <c r="V513" s="504"/>
      <c r="W513" s="505"/>
      <c r="X513" s="153"/>
      <c r="Y513" s="194"/>
    </row>
    <row r="514" spans="1:25" ht="21.95" customHeight="1" x14ac:dyDescent="0.2">
      <c r="A514" s="294" t="s">
        <v>3358</v>
      </c>
      <c r="B514" s="282">
        <v>0</v>
      </c>
      <c r="C514" s="281" t="s">
        <v>2462</v>
      </c>
      <c r="D514" s="281"/>
      <c r="E514" s="281"/>
      <c r="F514" s="281"/>
      <c r="G514" s="281"/>
      <c r="H514" s="215"/>
      <c r="I514" s="503"/>
      <c r="J514" s="504"/>
      <c r="K514" s="504"/>
      <c r="L514" s="504"/>
      <c r="M514" s="504"/>
      <c r="N514" s="504"/>
      <c r="O514" s="504"/>
      <c r="P514" s="504"/>
      <c r="Q514" s="504"/>
      <c r="R514" s="504"/>
      <c r="S514" s="504"/>
      <c r="T514" s="504"/>
      <c r="U514" s="504"/>
      <c r="V514" s="504"/>
      <c r="W514" s="505"/>
      <c r="X514" s="153"/>
      <c r="Y514" s="194"/>
    </row>
    <row r="515" spans="1:25" ht="21.95" customHeight="1" x14ac:dyDescent="0.2">
      <c r="A515" s="294" t="s">
        <v>3359</v>
      </c>
      <c r="B515" s="282" t="b">
        <f>(B514&gt;0)</f>
        <v>0</v>
      </c>
      <c r="C515" s="281"/>
      <c r="D515" s="281"/>
      <c r="E515" s="281"/>
      <c r="F515" s="281"/>
      <c r="G515" s="281"/>
      <c r="H515" s="215"/>
      <c r="I515" s="503"/>
      <c r="J515" s="504"/>
      <c r="K515" s="504"/>
      <c r="L515" s="504"/>
      <c r="M515" s="504"/>
      <c r="N515" s="504"/>
      <c r="O515" s="504"/>
      <c r="P515" s="504"/>
      <c r="Q515" s="504"/>
      <c r="R515" s="504"/>
      <c r="S515" s="504"/>
      <c r="T515" s="504"/>
      <c r="U515" s="504"/>
      <c r="V515" s="504"/>
      <c r="W515" s="505"/>
      <c r="X515" s="153"/>
      <c r="Y515" s="194"/>
    </row>
    <row r="516" spans="1:25" ht="21.95" customHeight="1" x14ac:dyDescent="0.2">
      <c r="A516" s="440" t="s">
        <v>3883</v>
      </c>
      <c r="B516" s="282">
        <v>7</v>
      </c>
      <c r="C516" s="281"/>
      <c r="D516" s="281"/>
      <c r="E516" s="281"/>
      <c r="F516" s="281"/>
      <c r="G516" s="281"/>
      <c r="H516" s="215"/>
      <c r="I516" s="506"/>
      <c r="J516" s="507"/>
      <c r="K516" s="507"/>
      <c r="L516" s="507"/>
      <c r="M516" s="507"/>
      <c r="N516" s="507"/>
      <c r="O516" s="507"/>
      <c r="P516" s="507"/>
      <c r="Q516" s="507"/>
      <c r="R516" s="507"/>
      <c r="S516" s="507"/>
      <c r="T516" s="507"/>
      <c r="U516" s="507"/>
      <c r="V516" s="507"/>
      <c r="W516" s="508"/>
      <c r="X516" s="153"/>
      <c r="Y516" s="194"/>
    </row>
    <row r="517" spans="1:25" ht="21.95" customHeight="1" x14ac:dyDescent="0.2">
      <c r="A517" s="440" t="s">
        <v>3884</v>
      </c>
      <c r="B517" s="282">
        <f ca="1">DATA_SCORE_PROJREADY_FINAL</f>
        <v>0</v>
      </c>
      <c r="C517" s="281"/>
      <c r="D517" s="281"/>
      <c r="E517" s="281"/>
      <c r="F517" s="281"/>
      <c r="G517" s="281"/>
      <c r="H517" s="215"/>
      <c r="I517" s="194"/>
      <c r="J517" s="153"/>
      <c r="K517" s="194"/>
      <c r="L517" s="153"/>
      <c r="M517" s="194"/>
      <c r="N517" s="153"/>
      <c r="O517" s="194"/>
      <c r="P517" s="153"/>
      <c r="Q517" s="194"/>
      <c r="R517" s="153"/>
      <c r="S517" s="194"/>
      <c r="T517" s="153"/>
      <c r="U517" s="194"/>
      <c r="V517" s="153"/>
      <c r="W517" s="194"/>
      <c r="X517" s="153"/>
      <c r="Y517" s="194"/>
    </row>
    <row r="518" spans="1:25" ht="21.95" customHeight="1" thickBot="1" x14ac:dyDescent="0.25">
      <c r="A518" s="440" t="s">
        <v>3885</v>
      </c>
      <c r="B518" s="282" t="str">
        <f>SUBSTITUTE(CONFIG_POINT_HEADER_TEMPLATE,"[MAX]",B516)</f>
        <v>(Maximum Points: 7)</v>
      </c>
      <c r="C518" s="281"/>
      <c r="D518" s="281"/>
      <c r="E518" s="281"/>
      <c r="F518" s="281"/>
      <c r="G518" s="281"/>
      <c r="H518" s="215"/>
      <c r="I518" s="424" t="str">
        <f>B407</f>
        <v>Housing for Special Needs Populations (Maximum Points: 5)</v>
      </c>
      <c r="J518" s="269"/>
      <c r="K518" s="269"/>
      <c r="L518" s="269"/>
      <c r="M518" s="269"/>
      <c r="N518" s="269"/>
      <c r="O518" s="269"/>
      <c r="P518" s="269"/>
      <c r="Q518" s="269"/>
      <c r="R518" s="269"/>
      <c r="S518" s="269"/>
      <c r="T518" s="269"/>
      <c r="U518" s="269"/>
      <c r="V518" s="269"/>
      <c r="W518" s="269"/>
      <c r="X518" s="167" t="str">
        <f ca="1">"Status: "&amp;$B$419</f>
        <v>Status: Not Started</v>
      </c>
      <c r="Y518" s="194"/>
    </row>
    <row r="519" spans="1:25" ht="21.95" customHeight="1" x14ac:dyDescent="0.2">
      <c r="A519" s="440" t="s">
        <v>3886</v>
      </c>
      <c r="B519" s="441" t="str">
        <f ca="1">SUBSTITUTE(CONFIG_SCORE_SUBHEADER_TEMPLATE,"[SCORE]",ROUND(B517,2))</f>
        <v>Estimated Score: 0</v>
      </c>
      <c r="C519" s="281"/>
      <c r="D519" s="281"/>
      <c r="E519" s="281"/>
      <c r="F519" s="281"/>
      <c r="G519" s="281"/>
      <c r="H519" s="215"/>
      <c r="I519" s="194"/>
      <c r="J519" s="153"/>
      <c r="K519" s="194"/>
      <c r="L519" s="153"/>
      <c r="M519" s="194"/>
      <c r="N519" s="153"/>
      <c r="O519" s="194"/>
      <c r="P519" s="153"/>
      <c r="Q519" s="194"/>
      <c r="R519" s="153"/>
      <c r="S519" s="194"/>
      <c r="T519" s="153"/>
      <c r="U519" s="194"/>
      <c r="V519" s="153"/>
      <c r="W519" s="194"/>
      <c r="X519" s="153"/>
      <c r="Y519" s="194"/>
    </row>
    <row r="520" spans="1:25" ht="21.95" customHeight="1" x14ac:dyDescent="0.2">
      <c r="A520" s="285" t="s">
        <v>3575</v>
      </c>
      <c r="B520" s="305" t="str">
        <f>C520&amp;" "&amp;B546</f>
        <v>Community Stability, Including Affordable Housing Preservation (Maximum Points: 14)</v>
      </c>
      <c r="C520" s="287" t="s">
        <v>3822</v>
      </c>
      <c r="D520" s="287"/>
      <c r="E520" s="287"/>
      <c r="F520" s="287"/>
      <c r="G520" s="172" t="str">
        <f>B541</f>
        <v>Community Stability</v>
      </c>
      <c r="H520" s="215"/>
      <c r="I520" s="499" t="s">
        <v>3492</v>
      </c>
      <c r="J520" s="498"/>
      <c r="K520" s="498"/>
      <c r="L520" s="498"/>
      <c r="M520" s="498"/>
      <c r="N520" s="498"/>
      <c r="O520" s="498"/>
      <c r="P520" s="498"/>
      <c r="Q520" s="498"/>
      <c r="R520" s="498"/>
      <c r="S520" s="498"/>
      <c r="T520" s="498"/>
      <c r="U520" s="498"/>
      <c r="V520" s="498"/>
      <c r="W520" s="498"/>
      <c r="X520" s="153"/>
      <c r="Y520" s="194"/>
    </row>
    <row r="521" spans="1:25" ht="21.95" customHeight="1" x14ac:dyDescent="0.2">
      <c r="A521" s="273" t="s">
        <v>3264</v>
      </c>
      <c r="B521" s="295">
        <v>0</v>
      </c>
      <c r="C521" s="281">
        <f ca="1">VLOOKUP(A521,DB_TBL_DATA_FIELDS[[FIELD_ID]:[PCT_CALC_FIELD_STATUS_CODE]],22,FALSE)</f>
        <v>1</v>
      </c>
      <c r="D521" s="281" t="str">
        <f>IF(VLOOKUP(A521,DB_TBL_DATA_FIELDS[[FIELD_ID]:[ERROR_MESSAGE]],23,FALSE)&lt;&gt;0,VLOOKUP(A521,DB_TBL_DATA_FIELDS[[FIELD_ID]:[ERROR_MESSAGE]],23,FALSE),"")</f>
        <v/>
      </c>
      <c r="E521" s="281">
        <f>VLOOKUP(A521,DB_TBL_DATA_FIELDS[[#All],[FIELD_ID]:[RANGE_VALIDATION_MAX]],18,FALSE)</f>
        <v>0</v>
      </c>
      <c r="F521" s="281">
        <f>VLOOKUP(A521,DB_TBL_DATA_FIELDS[[#All],[FIELD_ID]:[RANGE_VALIDATION_MAX]],19,FALSE)</f>
        <v>999999999999</v>
      </c>
      <c r="G521" s="281">
        <f ca="1">IF(C521&lt;0,"",C521)</f>
        <v>1</v>
      </c>
      <c r="H521" s="215"/>
      <c r="I521" s="498"/>
      <c r="J521" s="498"/>
      <c r="K521" s="498"/>
      <c r="L521" s="498"/>
      <c r="M521" s="498"/>
      <c r="N521" s="498"/>
      <c r="O521" s="498"/>
      <c r="P521" s="498"/>
      <c r="Q521" s="498"/>
      <c r="R521" s="498"/>
      <c r="S521" s="498"/>
      <c r="T521" s="498"/>
      <c r="U521" s="498"/>
      <c r="V521" s="498"/>
      <c r="W521" s="498"/>
      <c r="X521" s="153"/>
      <c r="Y521" s="194"/>
    </row>
    <row r="522" spans="1:25" ht="21.95" customHeight="1" x14ac:dyDescent="0.2">
      <c r="A522" s="336" t="s">
        <v>3272</v>
      </c>
      <c r="B522" s="298">
        <v>0</v>
      </c>
      <c r="C522" s="298"/>
      <c r="D522" s="298"/>
      <c r="E522" s="298"/>
      <c r="F522" s="298"/>
      <c r="G522" s="298"/>
      <c r="H522" s="215"/>
      <c r="I522" s="498"/>
      <c r="J522" s="498"/>
      <c r="K522" s="498"/>
      <c r="L522" s="498"/>
      <c r="M522" s="498"/>
      <c r="N522" s="498"/>
      <c r="O522" s="498"/>
      <c r="P522" s="498"/>
      <c r="Q522" s="498"/>
      <c r="R522" s="498"/>
      <c r="S522" s="498"/>
      <c r="T522" s="498"/>
      <c r="U522" s="498"/>
      <c r="V522" s="498"/>
      <c r="W522" s="498"/>
      <c r="X522" s="153"/>
      <c r="Y522" s="194"/>
    </row>
    <row r="523" spans="1:25" ht="21.95" customHeight="1" x14ac:dyDescent="0.2">
      <c r="A523" s="273" t="s">
        <v>3283</v>
      </c>
      <c r="B523" s="295">
        <v>0</v>
      </c>
      <c r="C523" s="281">
        <f ca="1">VLOOKUP(A523,DB_TBL_DATA_FIELDS[[FIELD_ID]:[PCT_CALC_FIELD_STATUS_CODE]],22,FALSE)</f>
        <v>1</v>
      </c>
      <c r="D523" s="281" t="str">
        <f>IF(VLOOKUP(A523,DB_TBL_DATA_FIELDS[[FIELD_ID]:[ERROR_MESSAGE]],23,FALSE)&lt;&gt;0,VLOOKUP(A523,DB_TBL_DATA_FIELDS[[FIELD_ID]:[ERROR_MESSAGE]],23,FALSE),"")</f>
        <v/>
      </c>
      <c r="E523" s="281">
        <f>VLOOKUP(A523,DB_TBL_DATA_FIELDS[[#All],[FIELD_ID]:[RANGE_VALIDATION_MAX]],18,FALSE)</f>
        <v>0</v>
      </c>
      <c r="F523" s="281">
        <f>VLOOKUP(A523,DB_TBL_DATA_FIELDS[[#All],[FIELD_ID]:[RANGE_VALIDATION_MAX]],19,FALSE)</f>
        <v>999999999999</v>
      </c>
      <c r="G523" s="281">
        <f t="shared" ref="G523:G532" ca="1" si="51">IF(C523&lt;0,"",C523)</f>
        <v>1</v>
      </c>
      <c r="H523" s="215"/>
      <c r="I523" s="194"/>
      <c r="J523" s="153"/>
      <c r="K523" s="194"/>
      <c r="L523" s="153"/>
      <c r="M523" s="194"/>
      <c r="N523" s="153"/>
      <c r="O523" s="194"/>
      <c r="P523" s="153"/>
      <c r="Q523" s="194"/>
      <c r="R523" s="153"/>
      <c r="S523" s="194"/>
      <c r="T523" s="153"/>
      <c r="U523" s="194"/>
      <c r="V523" s="153"/>
      <c r="W523" s="194"/>
      <c r="X523" s="153"/>
      <c r="Y523" s="194"/>
    </row>
    <row r="524" spans="1:25" ht="21.95" customHeight="1" x14ac:dyDescent="0.2">
      <c r="A524" s="273" t="s">
        <v>3302</v>
      </c>
      <c r="B524" s="288" t="str">
        <f>IF(W652&lt;&gt;"",W652,"")</f>
        <v/>
      </c>
      <c r="C524" s="281">
        <f ca="1">VLOOKUP(A524,DB_TBL_DATA_FIELDS[[FIELD_ID]:[PCT_CALC_FIELD_STATUS_CODE]],22,FALSE)</f>
        <v>1</v>
      </c>
      <c r="D524" s="281" t="str">
        <f>IF(VLOOKUP(A524,DB_TBL_DATA_FIELDS[[FIELD_ID]:[ERROR_MESSAGE]],23,FALSE)&lt;&gt;0,VLOOKUP(A524,DB_TBL_DATA_FIELDS[[FIELD_ID]:[ERROR_MESSAGE]],23,FALSE),"")</f>
        <v/>
      </c>
      <c r="E524" s="281">
        <f>VLOOKUP(A524,DB_TBL_DATA_FIELDS[[#All],[FIELD_ID]:[RANGE_VALIDATION_MAX]],18,FALSE)</f>
        <v>0</v>
      </c>
      <c r="F524" s="281">
        <f>VLOOKUP(A524,DB_TBL_DATA_FIELDS[[#All],[FIELD_ID]:[RANGE_VALIDATION_MAX]],19,FALSE)</f>
        <v>999999999999</v>
      </c>
      <c r="G524" s="281">
        <f t="shared" ca="1" si="51"/>
        <v>1</v>
      </c>
      <c r="H524" s="215"/>
      <c r="I524" s="565" t="s">
        <v>3091</v>
      </c>
      <c r="J524" s="566"/>
      <c r="K524" s="566"/>
      <c r="L524" s="566"/>
      <c r="M524" s="566"/>
      <c r="N524" s="566"/>
      <c r="O524" s="566"/>
      <c r="P524" s="566"/>
      <c r="Q524" s="566"/>
      <c r="R524" s="566"/>
      <c r="S524" s="566"/>
      <c r="T524" s="567" t="s">
        <v>326</v>
      </c>
      <c r="U524" s="568"/>
      <c r="V524" s="568"/>
      <c r="W524" s="568"/>
      <c r="X524" s="153"/>
      <c r="Y524" s="194"/>
    </row>
    <row r="525" spans="1:25" ht="21.95" customHeight="1" x14ac:dyDescent="0.2">
      <c r="A525" s="273" t="s">
        <v>3640</v>
      </c>
      <c r="B525" s="288" t="str">
        <f>IF(I663&lt;&gt;"",I663,"")</f>
        <v/>
      </c>
      <c r="C525" s="281">
        <f ca="1">VLOOKUP(A525,DB_TBL_DATA_FIELDS[[FIELD_ID]:[PCT_CALC_FIELD_STATUS_CODE]],22,FALSE)</f>
        <v>-1</v>
      </c>
      <c r="D525" s="281" t="str">
        <f>IF(VLOOKUP(A525,DB_TBL_DATA_FIELDS[[FIELD_ID]:[ERROR_MESSAGE]],23,FALSE)&lt;&gt;0,VLOOKUP(A525,DB_TBL_DATA_FIELDS[[FIELD_ID]:[ERROR_MESSAGE]],23,FALSE),"")</f>
        <v/>
      </c>
      <c r="E525" s="281">
        <f>VLOOKUP(A525,DB_TBL_DATA_FIELDS[[#All],[FIELD_ID]:[RANGE_VALIDATION_MAX]],18,FALSE)</f>
        <v>0</v>
      </c>
      <c r="F525" s="281">
        <f>VLOOKUP(A525,DB_TBL_DATA_FIELDS[[#All],[FIELD_ID]:[RANGE_VALIDATION_MAX]],19,FALSE)</f>
        <v>1000</v>
      </c>
      <c r="G525" s="281" t="str">
        <f t="shared" ref="G525:G529" ca="1" si="52">IF(C525&lt;0,"",C525)</f>
        <v/>
      </c>
      <c r="H525" s="215"/>
      <c r="I525" s="465" t="s">
        <v>3093</v>
      </c>
      <c r="J525" s="569"/>
      <c r="K525" s="569"/>
      <c r="L525" s="569"/>
      <c r="M525" s="569"/>
      <c r="N525" s="569"/>
      <c r="O525" s="569"/>
      <c r="P525" s="569"/>
      <c r="Q525" s="569"/>
      <c r="R525" s="569"/>
      <c r="S525" s="569"/>
      <c r="T525" s="513"/>
      <c r="U525" s="514"/>
      <c r="V525" s="514"/>
      <c r="W525" s="514"/>
      <c r="X525" s="165">
        <f t="shared" ref="X525:X530" ca="1" si="53">G408</f>
        <v>1</v>
      </c>
      <c r="Y525" s="194"/>
    </row>
    <row r="526" spans="1:25" ht="21.95" customHeight="1" x14ac:dyDescent="0.2">
      <c r="A526" s="273" t="s">
        <v>3305</v>
      </c>
      <c r="B526" s="288" t="str">
        <f>IF(W667&lt;&gt;"",W667,"")</f>
        <v/>
      </c>
      <c r="C526" s="281">
        <f ca="1">VLOOKUP(A526,DB_TBL_DATA_FIELDS[[FIELD_ID]:[PCT_CALC_FIELD_STATUS_CODE]],22,FALSE)</f>
        <v>1</v>
      </c>
      <c r="D526" s="281" t="str">
        <f>IF(VLOOKUP(A526,DB_TBL_DATA_FIELDS[[FIELD_ID]:[ERROR_MESSAGE]],23,FALSE)&lt;&gt;0,VLOOKUP(A526,DB_TBL_DATA_FIELDS[[FIELD_ID]:[ERROR_MESSAGE]],23,FALSE),"")</f>
        <v/>
      </c>
      <c r="E526" s="281">
        <f>VLOOKUP(A526,DB_TBL_DATA_FIELDS[[#All],[FIELD_ID]:[RANGE_VALIDATION_MAX]],18,FALSE)</f>
        <v>0</v>
      </c>
      <c r="F526" s="281">
        <f>VLOOKUP(A526,DB_TBL_DATA_FIELDS[[#All],[FIELD_ID]:[RANGE_VALIDATION_MAX]],19,FALSE)</f>
        <v>999999999999</v>
      </c>
      <c r="G526" s="281">
        <f t="shared" ca="1" si="52"/>
        <v>1</v>
      </c>
      <c r="H526" s="215"/>
      <c r="I526" s="465" t="s">
        <v>3094</v>
      </c>
      <c r="J526" s="569"/>
      <c r="K526" s="569"/>
      <c r="L526" s="569"/>
      <c r="M526" s="569"/>
      <c r="N526" s="569"/>
      <c r="O526" s="569"/>
      <c r="P526" s="569"/>
      <c r="Q526" s="569"/>
      <c r="R526" s="569"/>
      <c r="S526" s="569"/>
      <c r="T526" s="513"/>
      <c r="U526" s="514"/>
      <c r="V526" s="514"/>
      <c r="W526" s="514"/>
      <c r="X526" s="165">
        <f t="shared" ca="1" si="53"/>
        <v>1</v>
      </c>
      <c r="Y526" s="194"/>
    </row>
    <row r="527" spans="1:25" ht="21.95" customHeight="1" x14ac:dyDescent="0.2">
      <c r="A527" s="273" t="s">
        <v>3641</v>
      </c>
      <c r="B527" s="288" t="str">
        <f>IF(I682&lt;&gt;"",I682,"")</f>
        <v/>
      </c>
      <c r="C527" s="281">
        <f ca="1">VLOOKUP(A527,DB_TBL_DATA_FIELDS[[FIELD_ID]:[PCT_CALC_FIELD_STATUS_CODE]],22,FALSE)</f>
        <v>-1</v>
      </c>
      <c r="D527" s="281" t="str">
        <f>IF(VLOOKUP(A527,DB_TBL_DATA_FIELDS[[FIELD_ID]:[ERROR_MESSAGE]],23,FALSE)&lt;&gt;0,VLOOKUP(A527,DB_TBL_DATA_FIELDS[[FIELD_ID]:[ERROR_MESSAGE]],23,FALSE),"")</f>
        <v/>
      </c>
      <c r="E527" s="281">
        <f>VLOOKUP(A527,DB_TBL_DATA_FIELDS[[#All],[FIELD_ID]:[RANGE_VALIDATION_MAX]],18,FALSE)</f>
        <v>0</v>
      </c>
      <c r="F527" s="281">
        <f>VLOOKUP(A527,DB_TBL_DATA_FIELDS[[#All],[FIELD_ID]:[RANGE_VALIDATION_MAX]],19,FALSE)</f>
        <v>1000</v>
      </c>
      <c r="G527" s="281" t="str">
        <f t="shared" ca="1" si="52"/>
        <v/>
      </c>
      <c r="H527" s="215"/>
      <c r="I527" s="465" t="s">
        <v>3095</v>
      </c>
      <c r="J527" s="569"/>
      <c r="K527" s="569"/>
      <c r="L527" s="569"/>
      <c r="M527" s="569"/>
      <c r="N527" s="569"/>
      <c r="O527" s="569"/>
      <c r="P527" s="569"/>
      <c r="Q527" s="569"/>
      <c r="R527" s="569"/>
      <c r="S527" s="569"/>
      <c r="T527" s="513"/>
      <c r="U527" s="514"/>
      <c r="V527" s="514"/>
      <c r="W527" s="514"/>
      <c r="X527" s="165">
        <f t="shared" ca="1" si="53"/>
        <v>1</v>
      </c>
      <c r="Y527" s="194"/>
    </row>
    <row r="528" spans="1:25" ht="21.95" customHeight="1" x14ac:dyDescent="0.2">
      <c r="A528" s="273" t="s">
        <v>3284</v>
      </c>
      <c r="B528" s="295">
        <v>0</v>
      </c>
      <c r="C528" s="281">
        <f ca="1">VLOOKUP(A528,DB_TBL_DATA_FIELDS[[FIELD_ID]:[PCT_CALC_FIELD_STATUS_CODE]],22,FALSE)</f>
        <v>1</v>
      </c>
      <c r="D528" s="281" t="str">
        <f>IF(VLOOKUP(A528,DB_TBL_DATA_FIELDS[[FIELD_ID]:[ERROR_MESSAGE]],23,FALSE)&lt;&gt;0,VLOOKUP(A528,DB_TBL_DATA_FIELDS[[FIELD_ID]:[ERROR_MESSAGE]],23,FALSE),"")</f>
        <v/>
      </c>
      <c r="E528" s="281">
        <f>VLOOKUP(A528,DB_TBL_DATA_FIELDS[[#All],[FIELD_ID]:[RANGE_VALIDATION_MAX]],18,FALSE)</f>
        <v>0</v>
      </c>
      <c r="F528" s="281">
        <f>VLOOKUP(A528,DB_TBL_DATA_FIELDS[[#All],[FIELD_ID]:[RANGE_VALIDATION_MAX]],19,FALSE)</f>
        <v>999999999999</v>
      </c>
      <c r="G528" s="281">
        <f t="shared" ca="1" si="52"/>
        <v>1</v>
      </c>
      <c r="H528" s="215"/>
      <c r="I528" s="465" t="s">
        <v>3096</v>
      </c>
      <c r="J528" s="569"/>
      <c r="K528" s="569"/>
      <c r="L528" s="569"/>
      <c r="M528" s="569"/>
      <c r="N528" s="569"/>
      <c r="O528" s="569"/>
      <c r="P528" s="569"/>
      <c r="Q528" s="569"/>
      <c r="R528" s="569"/>
      <c r="S528" s="569"/>
      <c r="T528" s="513"/>
      <c r="U528" s="514"/>
      <c r="V528" s="514"/>
      <c r="W528" s="514"/>
      <c r="X528" s="165">
        <f t="shared" ca="1" si="53"/>
        <v>1</v>
      </c>
      <c r="Y528" s="194"/>
    </row>
    <row r="529" spans="1:25" ht="21.95" customHeight="1" x14ac:dyDescent="0.2">
      <c r="A529" s="273" t="s">
        <v>3642</v>
      </c>
      <c r="B529" s="288" t="str">
        <f>IF(I708&lt;&gt;"",I708,"")</f>
        <v/>
      </c>
      <c r="C529" s="281">
        <f ca="1">VLOOKUP(A529,DB_TBL_DATA_FIELDS[[FIELD_ID]:[PCT_CALC_FIELD_STATUS_CODE]],22,FALSE)</f>
        <v>-1</v>
      </c>
      <c r="D529" s="281" t="str">
        <f>IF(VLOOKUP(A529,DB_TBL_DATA_FIELDS[[FIELD_ID]:[ERROR_MESSAGE]],23,FALSE)&lt;&gt;0,VLOOKUP(A529,DB_TBL_DATA_FIELDS[[FIELD_ID]:[ERROR_MESSAGE]],23,FALSE),"")</f>
        <v/>
      </c>
      <c r="E529" s="281">
        <f>VLOOKUP(A529,DB_TBL_DATA_FIELDS[[#All],[FIELD_ID]:[RANGE_VALIDATION_MAX]],18,FALSE)</f>
        <v>0</v>
      </c>
      <c r="F529" s="281">
        <f>VLOOKUP(A529,DB_TBL_DATA_FIELDS[[#All],[FIELD_ID]:[RANGE_VALIDATION_MAX]],19,FALSE)</f>
        <v>1000</v>
      </c>
      <c r="G529" s="281" t="str">
        <f t="shared" ca="1" si="52"/>
        <v/>
      </c>
      <c r="H529" s="215"/>
      <c r="I529" s="465" t="s">
        <v>3394</v>
      </c>
      <c r="J529" s="569"/>
      <c r="K529" s="569"/>
      <c r="L529" s="569"/>
      <c r="M529" s="569"/>
      <c r="N529" s="569"/>
      <c r="O529" s="569"/>
      <c r="P529" s="569"/>
      <c r="Q529" s="569"/>
      <c r="R529" s="569"/>
      <c r="S529" s="569"/>
      <c r="T529" s="513"/>
      <c r="U529" s="514"/>
      <c r="V529" s="514"/>
      <c r="W529" s="514"/>
      <c r="X529" s="165">
        <f t="shared" ca="1" si="53"/>
        <v>1</v>
      </c>
      <c r="Y529" s="194"/>
    </row>
    <row r="530" spans="1:25" ht="21.95" customHeight="1" x14ac:dyDescent="0.2">
      <c r="A530" s="273" t="s">
        <v>3308</v>
      </c>
      <c r="B530" s="295" t="b">
        <v>0</v>
      </c>
      <c r="C530" s="281" t="str">
        <f ca="1">VLOOKUP(A530,DB_TBL_DATA_FIELDS[[FIELD_ID]:[PCT_CALC_FIELD_STATUS_CODE]],22,FALSE)</f>
        <v/>
      </c>
      <c r="D530" s="281" t="str">
        <f>IF(VLOOKUP(A530,DB_TBL_DATA_FIELDS[[FIELD_ID]:[ERROR_MESSAGE]],23,FALSE)&lt;&gt;0,VLOOKUP(A530,DB_TBL_DATA_FIELDS[[FIELD_ID]:[ERROR_MESSAGE]],23,FALSE),"")</f>
        <v/>
      </c>
      <c r="E530" s="281">
        <f>VLOOKUP(A530,DB_TBL_DATA_FIELDS[[#All],[FIELD_ID]:[RANGE_VALIDATION_MAX]],18,FALSE)</f>
        <v>0</v>
      </c>
      <c r="F530" s="281">
        <f>VLOOKUP(A530,DB_TBL_DATA_FIELDS[[#All],[FIELD_ID]:[RANGE_VALIDATION_MAX]],19,FALSE)</f>
        <v>1</v>
      </c>
      <c r="G530" s="281" t="str">
        <f t="shared" ca="1" si="51"/>
        <v/>
      </c>
      <c r="H530" s="215"/>
      <c r="I530" s="194"/>
      <c r="J530" s="153"/>
      <c r="K530" s="194"/>
      <c r="L530" s="153"/>
      <c r="M530" s="194"/>
      <c r="N530" s="153"/>
      <c r="O530" s="194"/>
      <c r="P530" s="153"/>
      <c r="Q530" s="194"/>
      <c r="R530" s="153"/>
      <c r="S530" s="257" t="s">
        <v>3092</v>
      </c>
      <c r="T530" s="547" t="str">
        <f ca="1">B413</f>
        <v/>
      </c>
      <c r="U530" s="548"/>
      <c r="V530" s="548"/>
      <c r="W530" s="548"/>
      <c r="X530" s="165" t="str">
        <f t="shared" ca="1" si="53"/>
        <v/>
      </c>
      <c r="Y530" s="194"/>
    </row>
    <row r="531" spans="1:25" ht="21.95" customHeight="1" x14ac:dyDescent="0.2">
      <c r="A531" s="273" t="s">
        <v>3309</v>
      </c>
      <c r="B531" s="295" t="b">
        <v>0</v>
      </c>
      <c r="C531" s="281" t="str">
        <f ca="1">VLOOKUP(A531,DB_TBL_DATA_FIELDS[[FIELD_ID]:[PCT_CALC_FIELD_STATUS_CODE]],22,FALSE)</f>
        <v/>
      </c>
      <c r="D531" s="281" t="str">
        <f>IF(VLOOKUP(A531,DB_TBL_DATA_FIELDS[[FIELD_ID]:[ERROR_MESSAGE]],23,FALSE)&lt;&gt;0,VLOOKUP(A531,DB_TBL_DATA_FIELDS[[FIELD_ID]:[ERROR_MESSAGE]],23,FALSE),"")</f>
        <v/>
      </c>
      <c r="E531" s="281">
        <f>VLOOKUP(A531,DB_TBL_DATA_FIELDS[[#All],[FIELD_ID]:[RANGE_VALIDATION_MAX]],18,FALSE)</f>
        <v>0</v>
      </c>
      <c r="F531" s="281">
        <f>VLOOKUP(A531,DB_TBL_DATA_FIELDS[[#All],[FIELD_ID]:[RANGE_VALIDATION_MAX]],19,FALSE)</f>
        <v>1</v>
      </c>
      <c r="G531" s="281" t="str">
        <f t="shared" ca="1" si="51"/>
        <v/>
      </c>
      <c r="H531" s="215"/>
      <c r="I531" s="194"/>
      <c r="J531" s="153"/>
      <c r="K531" s="194"/>
      <c r="L531" s="153"/>
      <c r="M531" s="194"/>
      <c r="N531" s="153"/>
      <c r="O531" s="194"/>
      <c r="P531" s="153"/>
      <c r="Q531" s="194"/>
      <c r="R531" s="153"/>
      <c r="S531" s="194"/>
      <c r="T531" s="549" t="str">
        <f ca="1">D413</f>
        <v/>
      </c>
      <c r="U531" s="550"/>
      <c r="V531" s="550"/>
      <c r="W531" s="550"/>
      <c r="X531" s="153"/>
      <c r="Y531" s="194"/>
    </row>
    <row r="532" spans="1:25" ht="21.95" customHeight="1" x14ac:dyDescent="0.2">
      <c r="A532" s="273" t="s">
        <v>3294</v>
      </c>
      <c r="B532" s="295">
        <v>0</v>
      </c>
      <c r="C532" s="281">
        <f ca="1">VLOOKUP(A532,DB_TBL_DATA_FIELDS[[FIELD_ID]:[PCT_CALC_FIELD_STATUS_CODE]],22,FALSE)</f>
        <v>1</v>
      </c>
      <c r="D532" s="281" t="str">
        <f>IF(VLOOKUP(A532,DB_TBL_DATA_FIELDS[[FIELD_ID]:[ERROR_MESSAGE]],23,FALSE)&lt;&gt;0,VLOOKUP(A532,DB_TBL_DATA_FIELDS[[FIELD_ID]:[ERROR_MESSAGE]],23,FALSE),"")</f>
        <v/>
      </c>
      <c r="E532" s="281">
        <f>VLOOKUP(A532,DB_TBL_DATA_FIELDS[[#All],[FIELD_ID]:[RANGE_VALIDATION_MAX]],18,FALSE)</f>
        <v>0</v>
      </c>
      <c r="F532" s="281">
        <f>VLOOKUP(A532,DB_TBL_DATA_FIELDS[[#All],[FIELD_ID]:[RANGE_VALIDATION_MAX]],19,FALSE)</f>
        <v>999999999999</v>
      </c>
      <c r="G532" s="281">
        <f t="shared" ca="1" si="51"/>
        <v>1</v>
      </c>
      <c r="H532" s="215"/>
      <c r="I532" s="194"/>
      <c r="J532" s="153"/>
      <c r="K532" s="194"/>
      <c r="L532" s="153"/>
      <c r="M532" s="194"/>
      <c r="N532" s="153"/>
      <c r="O532" s="194"/>
      <c r="P532" s="153"/>
      <c r="Q532" s="194"/>
      <c r="R532" s="153"/>
      <c r="S532" s="194"/>
      <c r="T532" s="401"/>
      <c r="U532" s="413"/>
      <c r="V532" s="413"/>
      <c r="W532" s="413"/>
      <c r="X532" s="153"/>
      <c r="Y532" s="194"/>
    </row>
    <row r="533" spans="1:25" ht="21.95" customHeight="1" thickBot="1" x14ac:dyDescent="0.25">
      <c r="A533" s="273" t="s">
        <v>3606</v>
      </c>
      <c r="B533" s="288" t="str">
        <f>IF(I732&lt;&gt;"",I732,"")</f>
        <v/>
      </c>
      <c r="C533" s="281">
        <f ca="1">VLOOKUP(A533,DB_TBL_DATA_FIELDS[[FIELD_ID]:[PCT_CALC_FIELD_STATUS_CODE]],22,FALSE)</f>
        <v>-1</v>
      </c>
      <c r="D533" s="281" t="str">
        <f>IF(VLOOKUP(A533,DB_TBL_DATA_FIELDS[[FIELD_ID]:[ERROR_MESSAGE]],23,FALSE)&lt;&gt;0,VLOOKUP(A533,DB_TBL_DATA_FIELDS[[FIELD_ID]:[ERROR_MESSAGE]],23,FALSE),"")</f>
        <v/>
      </c>
      <c r="E533" s="281">
        <f>VLOOKUP(A533,DB_TBL_DATA_FIELDS[[#All],[FIELD_ID]:[RANGE_VALIDATION_MAX]],18,FALSE)</f>
        <v>0</v>
      </c>
      <c r="F533" s="281">
        <f>VLOOKUP(A533,DB_TBL_DATA_FIELDS[[#All],[FIELD_ID]:[RANGE_VALIDATION_MAX]],19,FALSE)</f>
        <v>1000</v>
      </c>
      <c r="G533" s="281" t="str">
        <f t="shared" ref="G533" ca="1" si="54">IF(C533&lt;0,"",C533)</f>
        <v/>
      </c>
      <c r="H533" s="215"/>
      <c r="I533" s="424" t="str">
        <f>B548</f>
        <v>Housing for Households Requiring Large Units (Maximum Points: 3)</v>
      </c>
      <c r="J533" s="269"/>
      <c r="K533" s="269"/>
      <c r="L533" s="269"/>
      <c r="M533" s="269"/>
      <c r="N533" s="269"/>
      <c r="O533" s="269"/>
      <c r="P533" s="269"/>
      <c r="Q533" s="269"/>
      <c r="R533" s="269"/>
      <c r="S533" s="269"/>
      <c r="T533" s="269"/>
      <c r="U533" s="269"/>
      <c r="V533" s="269"/>
      <c r="W533" s="269"/>
      <c r="X533" s="167" t="str">
        <f ca="1">"Status: "&amp;$B$555</f>
        <v>Status: Not Started</v>
      </c>
      <c r="Y533" s="194"/>
    </row>
    <row r="534" spans="1:25" ht="21.95" customHeight="1" x14ac:dyDescent="0.2">
      <c r="A534" s="290" t="s">
        <v>3576</v>
      </c>
      <c r="B534" s="282" t="str">
        <f>"C"&amp;MATCH(LEFT(A534,LEN(A534)-LEN("_RANGE")),A:A,0)+1&amp;":C"&amp;(ROW()-1)</f>
        <v>C521:C533</v>
      </c>
      <c r="C534" s="281"/>
      <c r="D534" s="281"/>
      <c r="E534" s="281"/>
      <c r="F534" s="281"/>
      <c r="G534" s="281"/>
      <c r="H534" s="215"/>
      <c r="I534" s="194"/>
      <c r="J534" s="153"/>
      <c r="K534" s="194"/>
      <c r="L534" s="153"/>
      <c r="M534" s="194"/>
      <c r="N534" s="153"/>
      <c r="O534" s="194"/>
      <c r="P534" s="153"/>
      <c r="Q534" s="194"/>
      <c r="R534" s="153"/>
      <c r="S534" s="194"/>
      <c r="T534" s="401"/>
      <c r="U534" s="413"/>
      <c r="V534" s="413"/>
      <c r="W534" s="413"/>
      <c r="X534" s="153"/>
      <c r="Y534" s="194"/>
    </row>
    <row r="535" spans="1:25" ht="21.95" customHeight="1" x14ac:dyDescent="0.2">
      <c r="A535" s="290" t="s">
        <v>3577</v>
      </c>
      <c r="B535" s="282">
        <f ca="1">COUNTIF(INDIRECT($B534),2)</f>
        <v>0</v>
      </c>
      <c r="C535" s="281"/>
      <c r="D535" s="281"/>
      <c r="E535" s="281"/>
      <c r="F535" s="281"/>
      <c r="G535" s="281"/>
      <c r="H535" s="215"/>
      <c r="I535" s="499" t="s">
        <v>3935</v>
      </c>
      <c r="J535" s="499"/>
      <c r="K535" s="499"/>
      <c r="L535" s="499"/>
      <c r="M535" s="499"/>
      <c r="N535" s="499"/>
      <c r="O535" s="499"/>
      <c r="P535" s="499"/>
      <c r="Q535" s="499"/>
      <c r="R535" s="499"/>
      <c r="S535" s="499"/>
      <c r="T535" s="499"/>
      <c r="U535" s="499"/>
      <c r="V535" s="499"/>
      <c r="W535" s="499"/>
      <c r="X535" s="153"/>
      <c r="Y535" s="194"/>
    </row>
    <row r="536" spans="1:25" ht="21.95" customHeight="1" x14ac:dyDescent="0.2">
      <c r="A536" s="290" t="s">
        <v>3578</v>
      </c>
      <c r="B536" s="282">
        <f ca="1">COUNTIF(INDIRECT($B534),0)+COUNTIF(INDIRECT($B534),1)+COUNTIF(INDIRECT($B534),2)</f>
        <v>6</v>
      </c>
      <c r="C536" s="281"/>
      <c r="D536" s="281"/>
      <c r="E536" s="281"/>
      <c r="F536" s="281"/>
      <c r="G536" s="281"/>
      <c r="H536" s="215"/>
      <c r="I536" s="499"/>
      <c r="J536" s="499"/>
      <c r="K536" s="499"/>
      <c r="L536" s="499"/>
      <c r="M536" s="499"/>
      <c r="N536" s="499"/>
      <c r="O536" s="499"/>
      <c r="P536" s="499"/>
      <c r="Q536" s="499"/>
      <c r="R536" s="499"/>
      <c r="S536" s="499"/>
      <c r="T536" s="499"/>
      <c r="U536" s="499"/>
      <c r="V536" s="499"/>
      <c r="W536" s="499"/>
      <c r="X536" s="153"/>
      <c r="Y536" s="194"/>
    </row>
    <row r="537" spans="1:25" ht="21.95" customHeight="1" x14ac:dyDescent="0.2">
      <c r="A537" s="290" t="s">
        <v>3579</v>
      </c>
      <c r="B537" s="282">
        <f ca="1">COUNTIF(INDIRECT($B534),0)</f>
        <v>0</v>
      </c>
      <c r="C537" s="281" t="s">
        <v>2607</v>
      </c>
      <c r="D537" s="281"/>
      <c r="E537" s="281"/>
      <c r="F537" s="281"/>
      <c r="G537" s="281"/>
      <c r="H537" s="215"/>
      <c r="I537" s="414"/>
      <c r="J537" s="414"/>
      <c r="K537" s="414"/>
      <c r="L537" s="414"/>
      <c r="M537" s="414"/>
      <c r="N537" s="414"/>
      <c r="O537" s="414"/>
      <c r="P537" s="414"/>
      <c r="Q537" s="414"/>
      <c r="R537" s="414"/>
      <c r="S537" s="414"/>
      <c r="T537" s="414"/>
      <c r="U537" s="414"/>
      <c r="V537" s="414"/>
      <c r="W537" s="414"/>
      <c r="X537" s="153"/>
      <c r="Y537" s="194"/>
    </row>
    <row r="538" spans="1:25" ht="21.95" customHeight="1" x14ac:dyDescent="0.2">
      <c r="A538" s="290" t="s">
        <v>3580</v>
      </c>
      <c r="B538" s="291">
        <f ca="1">IFERROR(B535/B536,1.01)</f>
        <v>0</v>
      </c>
      <c r="C538" s="281"/>
      <c r="D538" s="281"/>
      <c r="E538" s="281"/>
      <c r="F538" s="281"/>
      <c r="G538" s="281"/>
      <c r="H538" s="215"/>
      <c r="I538" s="499" t="s">
        <v>3749</v>
      </c>
      <c r="J538" s="498"/>
      <c r="K538" s="498"/>
      <c r="L538" s="498"/>
      <c r="M538" s="498"/>
      <c r="N538" s="498"/>
      <c r="O538" s="498"/>
      <c r="P538" s="498"/>
      <c r="Q538" s="498"/>
      <c r="R538" s="498"/>
      <c r="S538" s="498"/>
      <c r="T538" s="498"/>
      <c r="U538" s="498"/>
      <c r="V538" s="153"/>
      <c r="W538" s="407"/>
      <c r="X538" s="165">
        <f ca="1">G549</f>
        <v>1</v>
      </c>
      <c r="Y538" s="194"/>
    </row>
    <row r="539" spans="1:25" ht="21.95" customHeight="1" x14ac:dyDescent="0.2">
      <c r="A539" s="290" t="s">
        <v>3581</v>
      </c>
      <c r="B539" s="292" t="str">
        <f ca="1">IF(B537&gt;0,"Data Error(s)",IF(B538=0,"Not Started",IF(B538&lt;1,ROUNDUP(B538*100,0)&amp;"% Done",IF(B538&gt;1,"Optional","Complete"))))</f>
        <v>Not Started</v>
      </c>
      <c r="C539" s="281"/>
      <c r="D539" s="281"/>
      <c r="E539" s="281"/>
      <c r="F539" s="281"/>
      <c r="G539" s="281"/>
      <c r="H539" s="215"/>
      <c r="I539" s="194"/>
      <c r="J539" s="153"/>
      <c r="K539" s="194"/>
      <c r="L539" s="153"/>
      <c r="M539" s="194"/>
      <c r="N539" s="153"/>
      <c r="O539" s="194"/>
      <c r="P539" s="153"/>
      <c r="Q539" s="194"/>
      <c r="R539" s="153"/>
      <c r="S539" s="194"/>
      <c r="T539" s="401"/>
      <c r="U539" s="488" t="str">
        <f ca="1">D549</f>
        <v/>
      </c>
      <c r="V539" s="489"/>
      <c r="W539" s="489"/>
      <c r="X539" s="153"/>
      <c r="Y539" s="194"/>
    </row>
    <row r="540" spans="1:25" ht="21.95" customHeight="1" x14ac:dyDescent="0.2">
      <c r="A540" s="290" t="s">
        <v>3582</v>
      </c>
      <c r="B540" s="282" t="str">
        <f ca="1">IF(B537&gt;0,0,IF(B538&lt;1,"",2))</f>
        <v/>
      </c>
      <c r="C540" s="281"/>
      <c r="D540" s="281"/>
      <c r="E540" s="281"/>
      <c r="F540" s="281"/>
      <c r="G540" s="281"/>
      <c r="H540" s="215"/>
      <c r="I540" s="194"/>
      <c r="J540" s="153"/>
      <c r="K540" s="194"/>
      <c r="L540" s="153"/>
      <c r="M540" s="194"/>
      <c r="N540" s="153"/>
      <c r="O540" s="194"/>
      <c r="P540" s="153"/>
      <c r="Q540" s="194"/>
      <c r="R540" s="153"/>
      <c r="S540" s="194"/>
      <c r="T540" s="153"/>
      <c r="U540" s="194"/>
      <c r="V540" s="153"/>
      <c r="W540" s="194"/>
      <c r="X540" s="153"/>
      <c r="Y540" s="194"/>
    </row>
    <row r="541" spans="1:25" ht="21.95" customHeight="1" thickBot="1" x14ac:dyDescent="0.25">
      <c r="A541" s="290" t="s">
        <v>3583</v>
      </c>
      <c r="B541" s="293" t="s">
        <v>3266</v>
      </c>
      <c r="C541" s="281"/>
      <c r="D541" s="281"/>
      <c r="E541" s="281"/>
      <c r="F541" s="281"/>
      <c r="G541" s="281"/>
      <c r="H541" s="215"/>
      <c r="I541" s="424" t="str">
        <f>B428</f>
        <v>Housing in Rural Areas (Maximum Points: 5)</v>
      </c>
      <c r="J541" s="269"/>
      <c r="K541" s="269"/>
      <c r="L541" s="269"/>
      <c r="M541" s="269"/>
      <c r="N541" s="269"/>
      <c r="O541" s="269"/>
      <c r="P541" s="269"/>
      <c r="Q541" s="269"/>
      <c r="R541" s="269"/>
      <c r="S541" s="269"/>
      <c r="T541" s="269"/>
      <c r="U541" s="269"/>
      <c r="V541" s="269"/>
      <c r="W541" s="269"/>
      <c r="X541" s="167" t="str">
        <f ca="1">"Status: "&amp;$B$436</f>
        <v>Status: Not Started</v>
      </c>
      <c r="Y541" s="194"/>
    </row>
    <row r="542" spans="1:25" ht="21.95" customHeight="1" x14ac:dyDescent="0.2">
      <c r="A542" s="294" t="s">
        <v>3584</v>
      </c>
      <c r="B542" s="282">
        <v>0</v>
      </c>
      <c r="C542" s="281" t="s">
        <v>2462</v>
      </c>
      <c r="D542" s="281"/>
      <c r="E542" s="281"/>
      <c r="F542" s="281"/>
      <c r="G542" s="281"/>
      <c r="H542" s="215"/>
      <c r="I542" s="194"/>
      <c r="J542" s="153"/>
      <c r="K542" s="194"/>
      <c r="L542" s="153"/>
      <c r="M542" s="194"/>
      <c r="N542" s="153"/>
      <c r="O542" s="194"/>
      <c r="P542" s="153"/>
      <c r="Q542" s="194"/>
      <c r="R542" s="153"/>
      <c r="S542" s="194"/>
      <c r="T542" s="153"/>
      <c r="U542" s="194"/>
      <c r="V542" s="153"/>
      <c r="W542" s="194"/>
      <c r="X542" s="153"/>
      <c r="Y542" s="194"/>
    </row>
    <row r="543" spans="1:25" ht="21.95" customHeight="1" x14ac:dyDescent="0.2">
      <c r="A543" s="294" t="s">
        <v>3585</v>
      </c>
      <c r="B543" s="282" t="b">
        <f>(B542&gt;0)</f>
        <v>0</v>
      </c>
      <c r="C543" s="281"/>
      <c r="D543" s="281"/>
      <c r="E543" s="281"/>
      <c r="F543" s="281"/>
      <c r="G543" s="281"/>
      <c r="H543" s="215"/>
      <c r="I543" s="499" t="s">
        <v>3458</v>
      </c>
      <c r="J543" s="498"/>
      <c r="K543" s="498"/>
      <c r="L543" s="498"/>
      <c r="M543" s="498"/>
      <c r="N543" s="498"/>
      <c r="O543" s="498"/>
      <c r="P543" s="498"/>
      <c r="Q543" s="498"/>
      <c r="R543" s="498"/>
      <c r="S543" s="498"/>
      <c r="T543" s="498"/>
      <c r="U543" s="498"/>
      <c r="V543" s="498"/>
      <c r="W543" s="498"/>
      <c r="X543" s="153"/>
      <c r="Y543" s="194"/>
    </row>
    <row r="544" spans="1:25" ht="21.95" customHeight="1" x14ac:dyDescent="0.2">
      <c r="A544" s="440" t="s">
        <v>3879</v>
      </c>
      <c r="B544" s="282">
        <v>14</v>
      </c>
      <c r="C544" s="281"/>
      <c r="D544" s="281"/>
      <c r="E544" s="281"/>
      <c r="F544" s="281"/>
      <c r="G544" s="281"/>
      <c r="H544" s="215"/>
      <c r="I544" s="498"/>
      <c r="J544" s="498"/>
      <c r="K544" s="498"/>
      <c r="L544" s="498"/>
      <c r="M544" s="498"/>
      <c r="N544" s="498"/>
      <c r="O544" s="498"/>
      <c r="P544" s="498"/>
      <c r="Q544" s="498"/>
      <c r="R544" s="498"/>
      <c r="S544" s="498"/>
      <c r="T544" s="498"/>
      <c r="U544" s="498"/>
      <c r="V544" s="498"/>
      <c r="W544" s="498"/>
      <c r="X544" s="153"/>
      <c r="Y544" s="194"/>
    </row>
    <row r="545" spans="1:25" ht="21.95" customHeight="1" x14ac:dyDescent="0.2">
      <c r="A545" s="440" t="s">
        <v>3880</v>
      </c>
      <c r="B545" s="282">
        <f ca="1">DATA_SCORE_COMMSTAB_FINAL</f>
        <v>0</v>
      </c>
      <c r="C545" s="281"/>
      <c r="D545" s="281"/>
      <c r="E545" s="281"/>
      <c r="F545" s="281"/>
      <c r="G545" s="281"/>
      <c r="H545" s="215"/>
      <c r="I545" s="243"/>
      <c r="J545" s="243"/>
      <c r="K545" s="243"/>
      <c r="L545" s="243"/>
      <c r="M545" s="243"/>
      <c r="N545" s="243"/>
      <c r="O545" s="243"/>
      <c r="P545" s="243"/>
      <c r="Q545" s="243"/>
      <c r="R545" s="243"/>
      <c r="S545" s="243"/>
      <c r="T545" s="243"/>
      <c r="U545" s="243"/>
      <c r="V545" s="243"/>
      <c r="W545" s="243"/>
      <c r="X545" s="153"/>
      <c r="Y545" s="194"/>
    </row>
    <row r="546" spans="1:25" ht="21.95" customHeight="1" x14ac:dyDescent="0.2">
      <c r="A546" s="440" t="s">
        <v>3881</v>
      </c>
      <c r="B546" s="282" t="str">
        <f>SUBSTITUTE(CONFIG_POINT_HEADER_TEMPLATE,"[MAX]",B544)</f>
        <v>(Maximum Points: 14)</v>
      </c>
      <c r="C546" s="281"/>
      <c r="D546" s="281"/>
      <c r="E546" s="281"/>
      <c r="F546" s="281"/>
      <c r="G546" s="281"/>
      <c r="H546" s="215"/>
      <c r="I546" s="226" t="s">
        <v>3115</v>
      </c>
      <c r="J546" s="153"/>
      <c r="K546" s="194"/>
      <c r="L546" s="153"/>
      <c r="M546" s="207" t="s">
        <v>3116</v>
      </c>
      <c r="N546" s="153"/>
      <c r="O546" s="215"/>
      <c r="P546" s="153"/>
      <c r="Q546" s="215"/>
      <c r="R546" s="153"/>
      <c r="S546" s="215"/>
      <c r="T546" s="153"/>
      <c r="U546" s="194"/>
      <c r="V546" s="153"/>
      <c r="W546" s="194"/>
      <c r="X546" s="153"/>
      <c r="Y546" s="194"/>
    </row>
    <row r="547" spans="1:25" ht="21.95" customHeight="1" x14ac:dyDescent="0.2">
      <c r="A547" s="440" t="s">
        <v>3882</v>
      </c>
      <c r="B547" s="441" t="str">
        <f ca="1">SUBSTITUTE(CONFIG_SCORE_SUBHEADER_TEMPLATE,"[SCORE]",ROUND(B545,2))</f>
        <v>Estimated Score: 0</v>
      </c>
      <c r="C547" s="281"/>
      <c r="D547" s="281"/>
      <c r="E547" s="281"/>
      <c r="F547" s="281"/>
      <c r="G547" s="281"/>
      <c r="H547" s="215"/>
      <c r="I547" s="482"/>
      <c r="J547" s="483"/>
      <c r="K547" s="484"/>
      <c r="L547" s="165">
        <f ca="1">G429</f>
        <v>1</v>
      </c>
      <c r="M547" s="466"/>
      <c r="N547" s="467"/>
      <c r="O547" s="467"/>
      <c r="P547" s="467"/>
      <c r="Q547" s="467"/>
      <c r="R547" s="467"/>
      <c r="S547" s="467"/>
      <c r="T547" s="467"/>
      <c r="U547" s="467"/>
      <c r="V547" s="467"/>
      <c r="W547" s="468"/>
      <c r="X547" s="165" t="str">
        <f ca="1">G430</f>
        <v/>
      </c>
      <c r="Y547" s="194"/>
    </row>
    <row r="548" spans="1:25" ht="21.95" customHeight="1" x14ac:dyDescent="0.2">
      <c r="A548" s="285" t="s">
        <v>3754</v>
      </c>
      <c r="B548" s="305" t="str">
        <f>C548&amp;" "&amp;B562</f>
        <v>Housing for Households Requiring Large Units (Maximum Points: 3)</v>
      </c>
      <c r="C548" s="287" t="s">
        <v>3821</v>
      </c>
      <c r="D548" s="287"/>
      <c r="E548" s="287"/>
      <c r="F548" s="287"/>
      <c r="G548" s="172" t="str">
        <f>B557</f>
        <v>Large Units</v>
      </c>
      <c r="H548" s="215"/>
      <c r="I548" s="537" t="str">
        <f ca="1">D429</f>
        <v/>
      </c>
      <c r="J548" s="538"/>
      <c r="K548" s="538"/>
      <c r="L548" s="241"/>
      <c r="M548" s="194"/>
      <c r="N548" s="153"/>
      <c r="O548" s="194"/>
      <c r="P548" s="153"/>
      <c r="Q548" s="194"/>
      <c r="R548" s="153"/>
      <c r="S548" s="194"/>
      <c r="T548" s="153"/>
      <c r="U548" s="194"/>
      <c r="V548" s="153"/>
      <c r="W548" s="194"/>
      <c r="X548" s="153"/>
      <c r="Y548" s="194"/>
    </row>
    <row r="549" spans="1:25" ht="21.95" customHeight="1" x14ac:dyDescent="0.2">
      <c r="A549" s="273" t="s">
        <v>3745</v>
      </c>
      <c r="B549" s="295" t="str">
        <f>IF(W538&lt;&gt;"",W538,"")</f>
        <v/>
      </c>
      <c r="C549" s="281">
        <f ca="1">VLOOKUP(A549,DB_TBL_DATA_FIELDS[[FIELD_ID]:[PCT_CALC_FIELD_STATUS_CODE]],22,FALSE)</f>
        <v>1</v>
      </c>
      <c r="D549" s="281" t="str">
        <f ca="1">IF(VLOOKUP(A549,DB_TBL_DATA_FIELDS[[FIELD_ID]:[ERROR_MESSAGE]],23,FALSE)&lt;&gt;0,VLOOKUP(A549,DB_TBL_DATA_FIELDS[[FIELD_ID]:[ERROR_MESSAGE]],23,FALSE),"")</f>
        <v/>
      </c>
      <c r="E549" s="281">
        <f>VLOOKUP(A549,DB_TBL_DATA_FIELDS[[#All],[FIELD_ID]:[RANGE_VALIDATION_MAX]],18,FALSE)</f>
        <v>0</v>
      </c>
      <c r="F549" s="281">
        <f>VLOOKUP(A549,DB_TBL_DATA_FIELDS[[#All],[FIELD_ID]:[RANGE_VALIDATION_MAX]],19,FALSE)</f>
        <v>999999999999</v>
      </c>
      <c r="G549" s="281">
        <f t="shared" ref="G549" ca="1" si="55">IF(C549&lt;0,"",C549)</f>
        <v>1</v>
      </c>
      <c r="H549" s="215"/>
      <c r="I549" s="194"/>
      <c r="J549" s="153"/>
      <c r="K549" s="194"/>
      <c r="L549" s="153"/>
      <c r="M549" s="194"/>
      <c r="N549" s="153"/>
      <c r="O549" s="194"/>
      <c r="P549" s="153"/>
      <c r="Q549" s="194"/>
      <c r="R549" s="153"/>
      <c r="S549" s="194"/>
      <c r="T549" s="153"/>
      <c r="U549" s="194"/>
      <c r="V549" s="153"/>
      <c r="W549" s="194"/>
      <c r="X549" s="153"/>
      <c r="Y549" s="194"/>
    </row>
    <row r="550" spans="1:25" ht="21.95" customHeight="1" thickBot="1" x14ac:dyDescent="0.25">
      <c r="A550" s="290" t="s">
        <v>3755</v>
      </c>
      <c r="B550" s="282" t="str">
        <f>"C"&amp;MATCH(LEFT(A550,LEN(A550)-LEN("_RANGE")),A:A,0)+1&amp;":C"&amp;(ROW()-1)</f>
        <v>C549:C549</v>
      </c>
      <c r="C550" s="281"/>
      <c r="D550" s="281"/>
      <c r="E550" s="281"/>
      <c r="F550" s="281"/>
      <c r="G550" s="281"/>
      <c r="H550" s="215"/>
      <c r="I550" s="424" t="str">
        <f>B385</f>
        <v>Promotion of Empowerment (Maximum Points: 5)</v>
      </c>
      <c r="J550" s="269"/>
      <c r="K550" s="269"/>
      <c r="L550" s="269"/>
      <c r="M550" s="269"/>
      <c r="N550" s="269"/>
      <c r="O550" s="269"/>
      <c r="P550" s="269"/>
      <c r="Q550" s="269"/>
      <c r="R550" s="269"/>
      <c r="S550" s="269"/>
      <c r="T550" s="269"/>
      <c r="U550" s="269"/>
      <c r="V550" s="269"/>
      <c r="W550" s="269"/>
      <c r="X550" s="167" t="str">
        <f ca="1">"Status: "&amp;$B$398</f>
        <v>Status: Not Started</v>
      </c>
      <c r="Y550" s="194"/>
    </row>
    <row r="551" spans="1:25" ht="21.95" customHeight="1" x14ac:dyDescent="0.2">
      <c r="A551" s="290" t="s">
        <v>3756</v>
      </c>
      <c r="B551" s="282">
        <f ca="1">COUNTIF(INDIRECT($B550),2)</f>
        <v>0</v>
      </c>
      <c r="C551" s="281"/>
      <c r="D551" s="281"/>
      <c r="E551" s="281"/>
      <c r="F551" s="281"/>
      <c r="G551" s="281"/>
      <c r="H551" s="215"/>
      <c r="I551" s="194"/>
      <c r="J551" s="153"/>
      <c r="K551" s="194"/>
      <c r="L551" s="153"/>
      <c r="M551" s="194"/>
      <c r="N551" s="153"/>
      <c r="O551" s="194"/>
      <c r="P551" s="153"/>
      <c r="Q551" s="194"/>
      <c r="R551" s="153"/>
      <c r="S551" s="194"/>
      <c r="T551" s="153"/>
      <c r="U551" s="194"/>
      <c r="V551" s="153"/>
      <c r="W551" s="194"/>
      <c r="X551" s="153"/>
      <c r="Y551" s="194"/>
    </row>
    <row r="552" spans="1:25" ht="21.95" customHeight="1" x14ac:dyDescent="0.2">
      <c r="A552" s="290" t="s">
        <v>3757</v>
      </c>
      <c r="B552" s="282">
        <f ca="1">COUNTIF(INDIRECT($B550),0)+COUNTIF(INDIRECT($B550),1)+COUNTIF(INDIRECT($B550),2)</f>
        <v>1</v>
      </c>
      <c r="C552" s="281"/>
      <c r="D552" s="281"/>
      <c r="E552" s="281"/>
      <c r="F552" s="281"/>
      <c r="G552" s="281"/>
      <c r="H552" s="215"/>
      <c r="I552" s="499" t="s">
        <v>3936</v>
      </c>
      <c r="J552" s="499"/>
      <c r="K552" s="499"/>
      <c r="L552" s="499"/>
      <c r="M552" s="499"/>
      <c r="N552" s="499"/>
      <c r="O552" s="499"/>
      <c r="P552" s="499"/>
      <c r="Q552" s="499"/>
      <c r="R552" s="499"/>
      <c r="S552" s="499"/>
      <c r="T552" s="499"/>
      <c r="U552" s="499"/>
      <c r="V552" s="499"/>
      <c r="W552" s="499"/>
      <c r="X552" s="153"/>
      <c r="Y552" s="194"/>
    </row>
    <row r="553" spans="1:25" ht="21.95" customHeight="1" x14ac:dyDescent="0.2">
      <c r="A553" s="290" t="s">
        <v>3758</v>
      </c>
      <c r="B553" s="282">
        <f ca="1">COUNTIF(INDIRECT($B550),0)</f>
        <v>0</v>
      </c>
      <c r="C553" s="281" t="s">
        <v>2607</v>
      </c>
      <c r="D553" s="281"/>
      <c r="E553" s="281"/>
      <c r="F553" s="281"/>
      <c r="G553" s="281"/>
      <c r="H553" s="215"/>
      <c r="I553" s="499"/>
      <c r="J553" s="499"/>
      <c r="K553" s="499"/>
      <c r="L553" s="499"/>
      <c r="M553" s="499"/>
      <c r="N553" s="499"/>
      <c r="O553" s="499"/>
      <c r="P553" s="499"/>
      <c r="Q553" s="499"/>
      <c r="R553" s="499"/>
      <c r="S553" s="499"/>
      <c r="T553" s="499"/>
      <c r="U553" s="499"/>
      <c r="V553" s="499"/>
      <c r="W553" s="499"/>
      <c r="X553" s="153"/>
      <c r="Y553" s="194"/>
    </row>
    <row r="554" spans="1:25" ht="21.95" customHeight="1" x14ac:dyDescent="0.2">
      <c r="A554" s="290" t="s">
        <v>3759</v>
      </c>
      <c r="B554" s="291">
        <f ca="1">IFERROR(B551/B552,1.01)</f>
        <v>0</v>
      </c>
      <c r="C554" s="281"/>
      <c r="D554" s="281"/>
      <c r="E554" s="281"/>
      <c r="F554" s="281"/>
      <c r="G554" s="281"/>
      <c r="H554" s="215"/>
      <c r="I554" s="499"/>
      <c r="J554" s="499"/>
      <c r="K554" s="499"/>
      <c r="L554" s="499"/>
      <c r="M554" s="499"/>
      <c r="N554" s="499"/>
      <c r="O554" s="499"/>
      <c r="P554" s="499"/>
      <c r="Q554" s="499"/>
      <c r="R554" s="499"/>
      <c r="S554" s="499"/>
      <c r="T554" s="499"/>
      <c r="U554" s="499"/>
      <c r="V554" s="499"/>
      <c r="W554" s="499"/>
      <c r="X554" s="153"/>
      <c r="Y554" s="194"/>
    </row>
    <row r="555" spans="1:25" ht="21.95" customHeight="1" x14ac:dyDescent="0.2">
      <c r="A555" s="290" t="s">
        <v>3760</v>
      </c>
      <c r="B555" s="292" t="str">
        <f ca="1">IF(B553&gt;0,"Data Error(s)",IF(B554=0,"Not Started",IF(B554&lt;1,ROUNDUP(B554*100,0)&amp;"% Done",IF(B554&gt;1,"Optional","Complete"))))</f>
        <v>Not Started</v>
      </c>
      <c r="C555" s="281"/>
      <c r="D555" s="281"/>
      <c r="E555" s="281"/>
      <c r="F555" s="281"/>
      <c r="G555" s="281"/>
      <c r="H555" s="215"/>
      <c r="I555" s="499"/>
      <c r="J555" s="499"/>
      <c r="K555" s="499"/>
      <c r="L555" s="499"/>
      <c r="M555" s="499"/>
      <c r="N555" s="499"/>
      <c r="O555" s="499"/>
      <c r="P555" s="499"/>
      <c r="Q555" s="499"/>
      <c r="R555" s="499"/>
      <c r="S555" s="499"/>
      <c r="T555" s="499"/>
      <c r="U555" s="499"/>
      <c r="V555" s="499"/>
      <c r="W555" s="499"/>
      <c r="X555" s="153"/>
      <c r="Y555" s="194"/>
    </row>
    <row r="556" spans="1:25" ht="21.95" customHeight="1" x14ac:dyDescent="0.2">
      <c r="A556" s="290" t="s">
        <v>3761</v>
      </c>
      <c r="B556" s="282" t="str">
        <f ca="1">IF(B553&gt;0,0,IF(B554&lt;1,"",2))</f>
        <v/>
      </c>
      <c r="C556" s="281"/>
      <c r="D556" s="281"/>
      <c r="E556" s="281"/>
      <c r="F556" s="281"/>
      <c r="G556" s="281"/>
      <c r="H556" s="215"/>
      <c r="I556" s="499"/>
      <c r="J556" s="499"/>
      <c r="K556" s="499"/>
      <c r="L556" s="499"/>
      <c r="M556" s="499"/>
      <c r="N556" s="499"/>
      <c r="O556" s="499"/>
      <c r="P556" s="499"/>
      <c r="Q556" s="499"/>
      <c r="R556" s="499"/>
      <c r="S556" s="499"/>
      <c r="T556" s="499"/>
      <c r="U556" s="499"/>
      <c r="V556" s="499"/>
      <c r="W556" s="499"/>
      <c r="X556" s="153"/>
      <c r="Y556" s="194"/>
    </row>
    <row r="557" spans="1:25" ht="21.95" customHeight="1" x14ac:dyDescent="0.2">
      <c r="A557" s="290" t="s">
        <v>3762</v>
      </c>
      <c r="B557" s="293" t="s">
        <v>3747</v>
      </c>
      <c r="C557" s="281"/>
      <c r="D557" s="281"/>
      <c r="E557" s="281"/>
      <c r="F557" s="281"/>
      <c r="G557" s="281"/>
      <c r="H557" s="215"/>
      <c r="I557" s="499"/>
      <c r="J557" s="499"/>
      <c r="K557" s="499"/>
      <c r="L557" s="499"/>
      <c r="M557" s="499"/>
      <c r="N557" s="499"/>
      <c r="O557" s="499"/>
      <c r="P557" s="499"/>
      <c r="Q557" s="499"/>
      <c r="R557" s="499"/>
      <c r="S557" s="499"/>
      <c r="T557" s="499"/>
      <c r="U557" s="499"/>
      <c r="V557" s="499"/>
      <c r="W557" s="499"/>
      <c r="X557" s="153"/>
      <c r="Y557" s="194"/>
    </row>
    <row r="558" spans="1:25" ht="21.95" customHeight="1" x14ac:dyDescent="0.2">
      <c r="A558" s="294" t="s">
        <v>3763</v>
      </c>
      <c r="B558" s="282">
        <v>0</v>
      </c>
      <c r="C558" s="281" t="s">
        <v>2462</v>
      </c>
      <c r="D558" s="281"/>
      <c r="E558" s="281"/>
      <c r="F558" s="281"/>
      <c r="G558" s="281"/>
      <c r="H558" s="215"/>
      <c r="I558" s="499"/>
      <c r="J558" s="499"/>
      <c r="K558" s="499"/>
      <c r="L558" s="499"/>
      <c r="M558" s="499"/>
      <c r="N558" s="499"/>
      <c r="O558" s="499"/>
      <c r="P558" s="499"/>
      <c r="Q558" s="499"/>
      <c r="R558" s="499"/>
      <c r="S558" s="499"/>
      <c r="T558" s="499"/>
      <c r="U558" s="499"/>
      <c r="V558" s="499"/>
      <c r="W558" s="499"/>
      <c r="X558" s="153"/>
      <c r="Y558" s="194"/>
    </row>
    <row r="559" spans="1:25" ht="21.95" customHeight="1" x14ac:dyDescent="0.2">
      <c r="A559" s="294" t="s">
        <v>3764</v>
      </c>
      <c r="B559" s="282" t="b">
        <f>(B558&gt;0)</f>
        <v>0</v>
      </c>
      <c r="C559" s="281"/>
      <c r="D559" s="281"/>
      <c r="E559" s="281"/>
      <c r="F559" s="281"/>
      <c r="G559" s="281"/>
      <c r="H559" s="215"/>
      <c r="I559" s="499"/>
      <c r="J559" s="499"/>
      <c r="K559" s="499"/>
      <c r="L559" s="499"/>
      <c r="M559" s="499"/>
      <c r="N559" s="499"/>
      <c r="O559" s="499"/>
      <c r="P559" s="499"/>
      <c r="Q559" s="499"/>
      <c r="R559" s="499"/>
      <c r="S559" s="499"/>
      <c r="T559" s="499"/>
      <c r="U559" s="499"/>
      <c r="V559" s="499"/>
      <c r="W559" s="499"/>
      <c r="X559" s="153"/>
      <c r="Y559" s="194"/>
    </row>
    <row r="560" spans="1:25" ht="21.95" customHeight="1" x14ac:dyDescent="0.2">
      <c r="A560" s="440" t="s">
        <v>3875</v>
      </c>
      <c r="B560" s="282">
        <v>3</v>
      </c>
      <c r="C560" s="281"/>
      <c r="D560" s="281"/>
      <c r="E560" s="281"/>
      <c r="F560" s="281"/>
      <c r="G560" s="281"/>
      <c r="H560" s="215"/>
      <c r="I560" s="499"/>
      <c r="J560" s="499"/>
      <c r="K560" s="499"/>
      <c r="L560" s="499"/>
      <c r="M560" s="499"/>
      <c r="N560" s="499"/>
      <c r="O560" s="499"/>
      <c r="P560" s="499"/>
      <c r="Q560" s="499"/>
      <c r="R560" s="499"/>
      <c r="S560" s="499"/>
      <c r="T560" s="499"/>
      <c r="U560" s="499"/>
      <c r="V560" s="499"/>
      <c r="W560" s="499"/>
      <c r="X560" s="153"/>
      <c r="Y560" s="194"/>
    </row>
    <row r="561" spans="1:25" ht="21.95" customHeight="1" x14ac:dyDescent="0.2">
      <c r="A561" s="440" t="s">
        <v>3876</v>
      </c>
      <c r="B561" s="282">
        <f ca="1">DATA_SCORE_LARGEUNITS_FINAL</f>
        <v>0</v>
      </c>
      <c r="C561" s="281"/>
      <c r="D561" s="281"/>
      <c r="E561" s="281"/>
      <c r="F561" s="281"/>
      <c r="G561" s="281"/>
      <c r="H561" s="215"/>
      <c r="I561" s="499"/>
      <c r="J561" s="499"/>
      <c r="K561" s="499"/>
      <c r="L561" s="499"/>
      <c r="M561" s="499"/>
      <c r="N561" s="499"/>
      <c r="O561" s="499"/>
      <c r="P561" s="499"/>
      <c r="Q561" s="499"/>
      <c r="R561" s="499"/>
      <c r="S561" s="499"/>
      <c r="T561" s="499"/>
      <c r="U561" s="499"/>
      <c r="V561" s="499"/>
      <c r="W561" s="499"/>
      <c r="X561" s="153"/>
      <c r="Y561" s="194"/>
    </row>
    <row r="562" spans="1:25" ht="21.95" customHeight="1" x14ac:dyDescent="0.2">
      <c r="A562" s="440" t="s">
        <v>3877</v>
      </c>
      <c r="B562" s="282" t="str">
        <f>SUBSTITUTE(CONFIG_POINT_HEADER_TEMPLATE,"[MAX]",B560)</f>
        <v>(Maximum Points: 3)</v>
      </c>
      <c r="C562" s="281"/>
      <c r="D562" s="281"/>
      <c r="E562" s="281"/>
      <c r="F562" s="281"/>
      <c r="G562" s="281"/>
      <c r="H562" s="215"/>
      <c r="I562" s="499"/>
      <c r="J562" s="499"/>
      <c r="K562" s="499"/>
      <c r="L562" s="499"/>
      <c r="M562" s="499"/>
      <c r="N562" s="499"/>
      <c r="O562" s="499"/>
      <c r="P562" s="499"/>
      <c r="Q562" s="499"/>
      <c r="R562" s="499"/>
      <c r="S562" s="499"/>
      <c r="T562" s="499"/>
      <c r="U562" s="499"/>
      <c r="V562" s="499"/>
      <c r="W562" s="499"/>
      <c r="X562" s="153"/>
      <c r="Y562" s="194"/>
    </row>
    <row r="563" spans="1:25" ht="21.95" customHeight="1" x14ac:dyDescent="0.2">
      <c r="A563" s="440" t="s">
        <v>3878</v>
      </c>
      <c r="B563" s="441" t="str">
        <f ca="1">SUBSTITUTE(CONFIG_SCORE_SUBHEADER_TEMPLATE,"[SCORE]",ROUND(B561,2))</f>
        <v>Estimated Score: 0</v>
      </c>
      <c r="C563" s="281"/>
      <c r="D563" s="281"/>
      <c r="E563" s="281"/>
      <c r="F563" s="281"/>
      <c r="G563" s="281"/>
      <c r="H563" s="215"/>
      <c r="I563" s="499"/>
      <c r="J563" s="499"/>
      <c r="K563" s="499"/>
      <c r="L563" s="499"/>
      <c r="M563" s="499"/>
      <c r="N563" s="499"/>
      <c r="O563" s="499"/>
      <c r="P563" s="499"/>
      <c r="Q563" s="499"/>
      <c r="R563" s="499"/>
      <c r="S563" s="499"/>
      <c r="T563" s="499"/>
      <c r="U563" s="499"/>
      <c r="V563" s="499"/>
      <c r="W563" s="499"/>
      <c r="X563" s="153"/>
      <c r="Y563" s="194"/>
    </row>
    <row r="564" spans="1:25" ht="21.95" customHeight="1" x14ac:dyDescent="0.2">
      <c r="A564" s="285" t="s">
        <v>3842</v>
      </c>
      <c r="B564" s="305" t="str">
        <f>C564&amp;" "&amp;B580</f>
        <v>Subsidy per Unit (Maximum Points: 12)</v>
      </c>
      <c r="C564" s="287" t="s">
        <v>3834</v>
      </c>
      <c r="D564" s="287"/>
      <c r="E564" s="287"/>
      <c r="F564" s="287"/>
      <c r="G564" s="172" t="str">
        <f>B575</f>
        <v>Subsidy per Unit</v>
      </c>
      <c r="H564" s="215"/>
      <c r="I564" s="499"/>
      <c r="J564" s="499"/>
      <c r="K564" s="499"/>
      <c r="L564" s="499"/>
      <c r="M564" s="499"/>
      <c r="N564" s="499"/>
      <c r="O564" s="499"/>
      <c r="P564" s="499"/>
      <c r="Q564" s="499"/>
      <c r="R564" s="499"/>
      <c r="S564" s="499"/>
      <c r="T564" s="499"/>
      <c r="U564" s="499"/>
      <c r="V564" s="499"/>
      <c r="W564" s="499"/>
      <c r="X564" s="153"/>
      <c r="Y564" s="194"/>
    </row>
    <row r="565" spans="1:25" ht="21.95" customHeight="1" x14ac:dyDescent="0.2">
      <c r="A565" s="273" t="s">
        <v>3831</v>
      </c>
      <c r="B565" s="433" t="str">
        <f ca="1">VLOOKUP(A565,'$DB.DATA'!D:H,5,FALSE)</f>
        <v/>
      </c>
      <c r="C565" s="281">
        <f ca="1">VLOOKUP(A565,DB_TBL_DATA_FIELDS[[FIELD_ID]:[PCT_CALC_FIELD_STATUS_CODE]],22,FALSE)</f>
        <v>1</v>
      </c>
      <c r="D565" s="281" t="str">
        <f>IF(VLOOKUP(A565,DB_TBL_DATA_FIELDS[[FIELD_ID]:[ERROR_MESSAGE]],23,FALSE)&lt;&gt;0,VLOOKUP(A565,DB_TBL_DATA_FIELDS[[FIELD_ID]:[ERROR_MESSAGE]],23,FALSE),"")</f>
        <v/>
      </c>
      <c r="E565" s="281">
        <f>VLOOKUP(A565,DB_TBL_DATA_FIELDS[[#All],[FIELD_ID]:[RANGE_VALIDATION_MAX]],18,FALSE)</f>
        <v>0</v>
      </c>
      <c r="F565" s="281">
        <f>VLOOKUP(A565,DB_TBL_DATA_FIELDS[[#All],[FIELD_ID]:[RANGE_VALIDATION_MAX]],19,FALSE)</f>
        <v>9999999999</v>
      </c>
      <c r="G565" s="281">
        <f t="shared" ref="G565" ca="1" si="56">IF(C565&lt;0,"",C565)</f>
        <v>1</v>
      </c>
      <c r="H565" s="215"/>
      <c r="I565" s="499"/>
      <c r="J565" s="499"/>
      <c r="K565" s="499"/>
      <c r="L565" s="499"/>
      <c r="M565" s="499"/>
      <c r="N565" s="499"/>
      <c r="O565" s="499"/>
      <c r="P565" s="499"/>
      <c r="Q565" s="499"/>
      <c r="R565" s="499"/>
      <c r="S565" s="499"/>
      <c r="T565" s="499"/>
      <c r="U565" s="499"/>
      <c r="V565" s="499"/>
      <c r="W565" s="499"/>
      <c r="X565" s="153"/>
      <c r="Y565" s="194"/>
    </row>
    <row r="566" spans="1:25" ht="21.95" customHeight="1" x14ac:dyDescent="0.2">
      <c r="A566" s="273" t="s">
        <v>3832</v>
      </c>
      <c r="B566" s="433" t="str">
        <f ca="1">VLOOKUP(A566,'$DB.DATA'!D:H,5,FALSE)</f>
        <v/>
      </c>
      <c r="C566" s="281">
        <f ca="1">VLOOKUP(A566,DB_TBL_DATA_FIELDS[[FIELD_ID]:[PCT_CALC_FIELD_STATUS_CODE]],22,FALSE)</f>
        <v>1</v>
      </c>
      <c r="D566" s="281" t="str">
        <f>IF(VLOOKUP(A566,DB_TBL_DATA_FIELDS[[FIELD_ID]:[ERROR_MESSAGE]],23,FALSE)&lt;&gt;0,VLOOKUP(A566,DB_TBL_DATA_FIELDS[[FIELD_ID]:[ERROR_MESSAGE]],23,FALSE),"")</f>
        <v/>
      </c>
      <c r="E566" s="281">
        <f>VLOOKUP(A566,DB_TBL_DATA_FIELDS[[#All],[FIELD_ID]:[RANGE_VALIDATION_MAX]],18,FALSE)</f>
        <v>0</v>
      </c>
      <c r="F566" s="281">
        <f>VLOOKUP(A566,DB_TBL_DATA_FIELDS[[#All],[FIELD_ID]:[RANGE_VALIDATION_MAX]],19,FALSE)</f>
        <v>9999999999</v>
      </c>
      <c r="G566" s="281">
        <f t="shared" ref="G566:G567" ca="1" si="57">IF(C566&lt;0,"",C566)</f>
        <v>1</v>
      </c>
      <c r="H566" s="215"/>
      <c r="I566" s="499"/>
      <c r="J566" s="499"/>
      <c r="K566" s="499"/>
      <c r="L566" s="499"/>
      <c r="M566" s="499"/>
      <c r="N566" s="499"/>
      <c r="O566" s="499"/>
      <c r="P566" s="499"/>
      <c r="Q566" s="499"/>
      <c r="R566" s="499"/>
      <c r="S566" s="499"/>
      <c r="T566" s="499"/>
      <c r="U566" s="499"/>
      <c r="V566" s="499"/>
      <c r="W566" s="499"/>
      <c r="X566" s="153"/>
      <c r="Y566" s="194"/>
    </row>
    <row r="567" spans="1:25" ht="21.95" customHeight="1" x14ac:dyDescent="0.2">
      <c r="A567" s="273" t="s">
        <v>3833</v>
      </c>
      <c r="B567" s="433" t="str">
        <f ca="1">VLOOKUP(A567,'$DB.DATA'!D:H,5,FALSE)</f>
        <v/>
      </c>
      <c r="C567" s="281">
        <f ca="1">VLOOKUP(A567,DB_TBL_DATA_FIELDS[[FIELD_ID]:[PCT_CALC_FIELD_STATUS_CODE]],22,FALSE)</f>
        <v>1</v>
      </c>
      <c r="D567" s="281" t="str">
        <f>IF(VLOOKUP(A567,DB_TBL_DATA_FIELDS[[FIELD_ID]:[ERROR_MESSAGE]],23,FALSE)&lt;&gt;0,VLOOKUP(A567,DB_TBL_DATA_FIELDS[[FIELD_ID]:[ERROR_MESSAGE]],23,FALSE),"")</f>
        <v/>
      </c>
      <c r="E567" s="281">
        <f>VLOOKUP(A567,DB_TBL_DATA_FIELDS[[#All],[FIELD_ID]:[RANGE_VALIDATION_MAX]],18,FALSE)</f>
        <v>0</v>
      </c>
      <c r="F567" s="281">
        <f>VLOOKUP(A567,DB_TBL_DATA_FIELDS[[#All],[FIELD_ID]:[RANGE_VALIDATION_MAX]],19,FALSE)</f>
        <v>9999999999</v>
      </c>
      <c r="G567" s="281">
        <f t="shared" ca="1" si="57"/>
        <v>1</v>
      </c>
      <c r="H567" s="215"/>
      <c r="I567" s="499"/>
      <c r="J567" s="499"/>
      <c r="K567" s="499"/>
      <c r="L567" s="499"/>
      <c r="M567" s="499"/>
      <c r="N567" s="499"/>
      <c r="O567" s="499"/>
      <c r="P567" s="499"/>
      <c r="Q567" s="499"/>
      <c r="R567" s="499"/>
      <c r="S567" s="499"/>
      <c r="T567" s="499"/>
      <c r="U567" s="499"/>
      <c r="V567" s="499"/>
      <c r="W567" s="499"/>
      <c r="X567" s="153"/>
      <c r="Y567" s="194"/>
    </row>
    <row r="568" spans="1:25" ht="21.95" customHeight="1" x14ac:dyDescent="0.2">
      <c r="A568" s="290" t="s">
        <v>3843</v>
      </c>
      <c r="B568" s="282" t="str">
        <f>"C"&amp;MATCH(LEFT(A568,LEN(A568)-LEN("_RANGE")),A:A,0)+1&amp;":C"&amp;(ROW()-1)</f>
        <v>C565:C567</v>
      </c>
      <c r="C568" s="281"/>
      <c r="D568" s="281"/>
      <c r="E568" s="281"/>
      <c r="F568" s="281"/>
      <c r="G568" s="281"/>
      <c r="H568" s="215"/>
      <c r="I568" s="499"/>
      <c r="J568" s="499"/>
      <c r="K568" s="499"/>
      <c r="L568" s="499"/>
      <c r="M568" s="499"/>
      <c r="N568" s="499"/>
      <c r="O568" s="499"/>
      <c r="P568" s="499"/>
      <c r="Q568" s="499"/>
      <c r="R568" s="499"/>
      <c r="S568" s="499"/>
      <c r="T568" s="499"/>
      <c r="U568" s="499"/>
      <c r="V568" s="499"/>
      <c r="W568" s="499"/>
      <c r="X568" s="153"/>
      <c r="Y568" s="194"/>
    </row>
    <row r="569" spans="1:25" ht="21.95" customHeight="1" x14ac:dyDescent="0.2">
      <c r="A569" s="290" t="s">
        <v>3844</v>
      </c>
      <c r="B569" s="282">
        <f ca="1">COUNTIF(INDIRECT($B568),2)</f>
        <v>0</v>
      </c>
      <c r="C569" s="281"/>
      <c r="D569" s="281"/>
      <c r="E569" s="281"/>
      <c r="F569" s="281"/>
      <c r="G569" s="281"/>
      <c r="H569" s="215"/>
      <c r="I569" s="499"/>
      <c r="J569" s="499"/>
      <c r="K569" s="499"/>
      <c r="L569" s="499"/>
      <c r="M569" s="499"/>
      <c r="N569" s="499"/>
      <c r="O569" s="499"/>
      <c r="P569" s="499"/>
      <c r="Q569" s="499"/>
      <c r="R569" s="499"/>
      <c r="S569" s="499"/>
      <c r="T569" s="499"/>
      <c r="U569" s="499"/>
      <c r="V569" s="499"/>
      <c r="W569" s="499"/>
      <c r="X569" s="153"/>
      <c r="Y569" s="194"/>
    </row>
    <row r="570" spans="1:25" ht="21.95" customHeight="1" x14ac:dyDescent="0.2">
      <c r="A570" s="290" t="s">
        <v>3845</v>
      </c>
      <c r="B570" s="282">
        <f ca="1">COUNTIF(INDIRECT($B568),0)+COUNTIF(INDIRECT($B568),1)+COUNTIF(INDIRECT($B568),2)</f>
        <v>3</v>
      </c>
      <c r="C570" s="281"/>
      <c r="D570" s="281"/>
      <c r="E570" s="281"/>
      <c r="F570" s="281"/>
      <c r="G570" s="281"/>
      <c r="H570" s="215"/>
      <c r="I570" s="499"/>
      <c r="J570" s="499"/>
      <c r="K570" s="499"/>
      <c r="L570" s="499"/>
      <c r="M570" s="499"/>
      <c r="N570" s="499"/>
      <c r="O570" s="499"/>
      <c r="P570" s="499"/>
      <c r="Q570" s="499"/>
      <c r="R570" s="499"/>
      <c r="S570" s="499"/>
      <c r="T570" s="499"/>
      <c r="U570" s="499"/>
      <c r="V570" s="499"/>
      <c r="W570" s="499"/>
      <c r="X570" s="153"/>
      <c r="Y570" s="194"/>
    </row>
    <row r="571" spans="1:25" ht="21.95" customHeight="1" x14ac:dyDescent="0.2">
      <c r="A571" s="290" t="s">
        <v>3846</v>
      </c>
      <c r="B571" s="282">
        <f ca="1">COUNTIF(INDIRECT($B568),0)</f>
        <v>0</v>
      </c>
      <c r="C571" s="281" t="s">
        <v>2607</v>
      </c>
      <c r="D571" s="281"/>
      <c r="E571" s="281"/>
      <c r="F571" s="281"/>
      <c r="G571" s="281"/>
      <c r="H571" s="215"/>
      <c r="I571" s="499"/>
      <c r="J571" s="499"/>
      <c r="K571" s="499"/>
      <c r="L571" s="499"/>
      <c r="M571" s="499"/>
      <c r="N571" s="499"/>
      <c r="O571" s="499"/>
      <c r="P571" s="499"/>
      <c r="Q571" s="499"/>
      <c r="R571" s="499"/>
      <c r="S571" s="499"/>
      <c r="T571" s="499"/>
      <c r="U571" s="499"/>
      <c r="V571" s="499"/>
      <c r="W571" s="499"/>
      <c r="X571" s="153"/>
      <c r="Y571" s="194"/>
    </row>
    <row r="572" spans="1:25" ht="21.95" customHeight="1" x14ac:dyDescent="0.2">
      <c r="A572" s="290" t="s">
        <v>3847</v>
      </c>
      <c r="B572" s="291">
        <f ca="1">IFERROR(B569/B570,1.01)</f>
        <v>0</v>
      </c>
      <c r="C572" s="281"/>
      <c r="D572" s="281"/>
      <c r="E572" s="281"/>
      <c r="F572" s="281"/>
      <c r="G572" s="281"/>
      <c r="H572" s="215"/>
      <c r="I572" s="194"/>
      <c r="J572" s="153"/>
      <c r="K572" s="194"/>
      <c r="L572" s="153"/>
      <c r="M572" s="194"/>
      <c r="N572" s="153"/>
      <c r="O572" s="194"/>
      <c r="P572" s="153"/>
      <c r="Q572" s="194"/>
      <c r="R572" s="153"/>
      <c r="S572" s="194"/>
      <c r="T572" s="153"/>
      <c r="U572" s="194"/>
      <c r="V572" s="153"/>
      <c r="W572" s="194"/>
      <c r="X572" s="153"/>
      <c r="Y572" s="194"/>
    </row>
    <row r="573" spans="1:25" ht="21.95" customHeight="1" thickBot="1" x14ac:dyDescent="0.25">
      <c r="A573" s="290" t="s">
        <v>3848</v>
      </c>
      <c r="B573" s="292" t="str">
        <f ca="1">IF(B571&gt;0,"Data Error(s)",IF(B572=0,"Not Started",IF(B572&lt;1,ROUNDUP(B572*100,0)&amp;"% Done",IF(B572&gt;1,"Optional","Complete"))))</f>
        <v>Not Started</v>
      </c>
      <c r="C573" s="281"/>
      <c r="D573" s="281"/>
      <c r="E573" s="281"/>
      <c r="F573" s="281"/>
      <c r="G573" s="281"/>
      <c r="H573" s="215"/>
      <c r="I573" s="216" t="s">
        <v>3057</v>
      </c>
      <c r="J573" s="217"/>
      <c r="K573" s="223"/>
      <c r="L573" s="217"/>
      <c r="M573" s="223"/>
      <c r="N573" s="217"/>
      <c r="O573" s="223"/>
      <c r="P573" s="217"/>
      <c r="Q573" s="255"/>
      <c r="R573" s="217"/>
      <c r="S573" s="223"/>
      <c r="T573" s="217"/>
      <c r="U573" s="223"/>
      <c r="V573" s="217"/>
      <c r="W573" s="223"/>
      <c r="X573" s="153"/>
      <c r="Y573" s="194"/>
    </row>
    <row r="574" spans="1:25" ht="21.95" customHeight="1" thickTop="1" x14ac:dyDescent="0.2">
      <c r="A574" s="290" t="s">
        <v>3849</v>
      </c>
      <c r="B574" s="282" t="str">
        <f ca="1">IF(B571&gt;0,0,IF(B572&lt;1,"",2))</f>
        <v/>
      </c>
      <c r="C574" s="281"/>
      <c r="D574" s="281"/>
      <c r="E574" s="281"/>
      <c r="F574" s="281"/>
      <c r="G574" s="281"/>
      <c r="H574" s="215"/>
      <c r="I574" s="194"/>
      <c r="J574" s="153"/>
      <c r="K574" s="194"/>
      <c r="L574" s="153"/>
      <c r="M574" s="194"/>
      <c r="N574" s="153"/>
      <c r="O574" s="194"/>
      <c r="P574" s="153"/>
      <c r="Q574" s="194"/>
      <c r="R574" s="153"/>
      <c r="S574" s="194"/>
      <c r="T574" s="153"/>
      <c r="U574" s="194"/>
      <c r="V574" s="153"/>
      <c r="W574" s="194"/>
      <c r="X574" s="153"/>
      <c r="Y574" s="194"/>
    </row>
    <row r="575" spans="1:25" ht="21.95" customHeight="1" x14ac:dyDescent="0.2">
      <c r="A575" s="290" t="s">
        <v>3850</v>
      </c>
      <c r="B575" s="293" t="s">
        <v>3834</v>
      </c>
      <c r="C575" s="281"/>
      <c r="D575" s="281"/>
      <c r="E575" s="281"/>
      <c r="F575" s="281"/>
      <c r="G575" s="281"/>
      <c r="H575" s="215"/>
      <c r="I575" s="237" t="s">
        <v>3700</v>
      </c>
      <c r="J575" s="153"/>
      <c r="K575" s="215"/>
      <c r="L575" s="153"/>
      <c r="M575" s="215"/>
      <c r="N575" s="153"/>
      <c r="O575" s="215"/>
      <c r="P575" s="153"/>
      <c r="Q575" s="215"/>
      <c r="R575" s="153"/>
      <c r="S575" s="215"/>
      <c r="T575" s="153"/>
      <c r="U575" s="215"/>
      <c r="V575" s="153"/>
      <c r="W575" s="316"/>
      <c r="X575" s="165">
        <f ca="1">G386</f>
        <v>1</v>
      </c>
      <c r="Y575" s="194"/>
    </row>
    <row r="576" spans="1:25" ht="21.95" customHeight="1" x14ac:dyDescent="0.2">
      <c r="A576" s="294" t="s">
        <v>3851</v>
      </c>
      <c r="B576" s="282">
        <v>0</v>
      </c>
      <c r="C576" s="281" t="s">
        <v>2462</v>
      </c>
      <c r="D576" s="281"/>
      <c r="E576" s="281"/>
      <c r="F576" s="281"/>
      <c r="G576" s="281"/>
      <c r="H576" s="215"/>
      <c r="I576" s="564" t="s">
        <v>3938</v>
      </c>
      <c r="J576" s="564"/>
      <c r="K576" s="564"/>
      <c r="L576" s="564"/>
      <c r="M576" s="564"/>
      <c r="N576" s="564"/>
      <c r="O576" s="564"/>
      <c r="P576" s="564"/>
      <c r="Q576" s="564"/>
      <c r="R576" s="564"/>
      <c r="S576" s="564"/>
      <c r="T576" s="564"/>
      <c r="U576" s="564"/>
      <c r="V576" s="564"/>
      <c r="W576" s="149"/>
      <c r="X576" s="153"/>
      <c r="Y576" s="194"/>
    </row>
    <row r="577" spans="1:25" ht="21.95" customHeight="1" x14ac:dyDescent="0.2">
      <c r="A577" s="294" t="s">
        <v>3852</v>
      </c>
      <c r="B577" s="282" t="b">
        <f>(B576&gt;0)</f>
        <v>0</v>
      </c>
      <c r="C577" s="281"/>
      <c r="D577" s="281"/>
      <c r="E577" s="281"/>
      <c r="F577" s="281"/>
      <c r="G577" s="281"/>
      <c r="H577" s="215"/>
      <c r="I577" s="564"/>
      <c r="J577" s="564"/>
      <c r="K577" s="564"/>
      <c r="L577" s="564"/>
      <c r="M577" s="564"/>
      <c r="N577" s="564"/>
      <c r="O577" s="564"/>
      <c r="P577" s="564"/>
      <c r="Q577" s="564"/>
      <c r="R577" s="564"/>
      <c r="S577" s="564"/>
      <c r="T577" s="564"/>
      <c r="U577" s="564"/>
      <c r="V577" s="564"/>
      <c r="W577" s="149"/>
      <c r="X577" s="153"/>
      <c r="Y577" s="194"/>
    </row>
    <row r="578" spans="1:25" ht="21.95" customHeight="1" x14ac:dyDescent="0.2">
      <c r="A578" s="440" t="s">
        <v>3925</v>
      </c>
      <c r="B578" s="282">
        <v>12</v>
      </c>
      <c r="C578" s="281"/>
      <c r="D578" s="281"/>
      <c r="E578" s="281"/>
      <c r="F578" s="281"/>
      <c r="G578" s="281"/>
      <c r="H578" s="215"/>
      <c r="I578" s="564"/>
      <c r="J578" s="564"/>
      <c r="K578" s="564"/>
      <c r="L578" s="564"/>
      <c r="M578" s="564"/>
      <c r="N578" s="564"/>
      <c r="O578" s="564"/>
      <c r="P578" s="564"/>
      <c r="Q578" s="564"/>
      <c r="R578" s="564"/>
      <c r="S578" s="564"/>
      <c r="T578" s="564"/>
      <c r="U578" s="564"/>
      <c r="V578" s="564"/>
      <c r="W578" s="194"/>
      <c r="X578" s="153"/>
      <c r="Y578" s="194"/>
    </row>
    <row r="579" spans="1:25" ht="21.95" customHeight="1" x14ac:dyDescent="0.2">
      <c r="A579" s="440" t="s">
        <v>3926</v>
      </c>
      <c r="B579" s="282">
        <f ca="1">DATA_SCORE_SPU_FINAL</f>
        <v>0</v>
      </c>
      <c r="C579" s="281"/>
      <c r="D579" s="281"/>
      <c r="E579" s="281"/>
      <c r="F579" s="281"/>
      <c r="G579" s="281"/>
      <c r="H579" s="215"/>
      <c r="I579" s="237" t="s">
        <v>3471</v>
      </c>
      <c r="J579" s="153"/>
      <c r="K579" s="215"/>
      <c r="L579" s="153"/>
      <c r="M579" s="215"/>
      <c r="N579" s="153"/>
      <c r="O579" s="215"/>
      <c r="P579" s="153"/>
      <c r="Q579" s="215"/>
      <c r="R579" s="153"/>
      <c r="S579" s="215"/>
      <c r="T579" s="153"/>
      <c r="U579" s="215"/>
      <c r="V579" s="153"/>
      <c r="W579" s="316"/>
      <c r="X579" s="165" t="str">
        <f ca="1">G387</f>
        <v/>
      </c>
      <c r="Y579" s="194"/>
    </row>
    <row r="580" spans="1:25" ht="21.95" customHeight="1" x14ac:dyDescent="0.2">
      <c r="A580" s="440" t="s">
        <v>3927</v>
      </c>
      <c r="B580" s="282" t="str">
        <f>SUBSTITUTE(CONFIG_POINT_HEADER_TEMPLATE,"[MAX]",B578)</f>
        <v>(Maximum Points: 12)</v>
      </c>
      <c r="C580" s="281"/>
      <c r="D580" s="281"/>
      <c r="E580" s="281"/>
      <c r="F580" s="281"/>
      <c r="G580" s="281"/>
      <c r="H580" s="215"/>
      <c r="I580" s="564" t="s">
        <v>3396</v>
      </c>
      <c r="J580" s="553"/>
      <c r="K580" s="553"/>
      <c r="L580" s="553"/>
      <c r="M580" s="553"/>
      <c r="N580" s="553"/>
      <c r="O580" s="553"/>
      <c r="P580" s="553"/>
      <c r="Q580" s="553"/>
      <c r="R580" s="553"/>
      <c r="S580" s="553"/>
      <c r="T580" s="553"/>
      <c r="U580" s="553"/>
      <c r="V580" s="553"/>
      <c r="W580" s="194"/>
      <c r="X580" s="153"/>
      <c r="Y580" s="194"/>
    </row>
    <row r="581" spans="1:25" ht="21.95" customHeight="1" x14ac:dyDescent="0.2">
      <c r="A581" s="440" t="s">
        <v>3928</v>
      </c>
      <c r="B581" s="441" t="str">
        <f ca="1">SUBSTITUTE(CONFIG_SCORE_SUBHEADER_TEMPLATE,"[SCORE]",ROUND(B579,2))</f>
        <v>Estimated Score: 0</v>
      </c>
      <c r="C581" s="281"/>
      <c r="D581" s="281"/>
      <c r="E581" s="281"/>
      <c r="F581" s="281"/>
      <c r="G581" s="281"/>
      <c r="H581" s="215"/>
      <c r="I581" s="553"/>
      <c r="J581" s="553"/>
      <c r="K581" s="553"/>
      <c r="L581" s="553"/>
      <c r="M581" s="553"/>
      <c r="N581" s="553"/>
      <c r="O581" s="553"/>
      <c r="P581" s="553"/>
      <c r="Q581" s="553"/>
      <c r="R581" s="553"/>
      <c r="S581" s="553"/>
      <c r="T581" s="553"/>
      <c r="U581" s="553"/>
      <c r="V581" s="553"/>
      <c r="W581" s="194"/>
      <c r="X581" s="153"/>
      <c r="Y581" s="194"/>
    </row>
    <row r="582" spans="1:25" ht="21.95" customHeight="1" x14ac:dyDescent="0.2">
      <c r="A582" s="285" t="s">
        <v>3864</v>
      </c>
      <c r="B582" s="305" t="str">
        <f>C582</f>
        <v>Score Summary</v>
      </c>
      <c r="C582" s="287" t="s">
        <v>3853</v>
      </c>
      <c r="D582" s="287"/>
      <c r="E582" s="287"/>
      <c r="F582" s="287"/>
      <c r="G582" s="172">
        <f>B593</f>
        <v>0</v>
      </c>
      <c r="H582" s="215"/>
      <c r="I582" s="553"/>
      <c r="J582" s="553"/>
      <c r="K582" s="553"/>
      <c r="L582" s="553"/>
      <c r="M582" s="553"/>
      <c r="N582" s="553"/>
      <c r="O582" s="553"/>
      <c r="P582" s="553"/>
      <c r="Q582" s="553"/>
      <c r="R582" s="553"/>
      <c r="S582" s="553"/>
      <c r="T582" s="553"/>
      <c r="U582" s="553"/>
      <c r="V582" s="553"/>
      <c r="W582" s="194"/>
      <c r="X582" s="153"/>
      <c r="Y582" s="194"/>
    </row>
    <row r="583" spans="1:25" ht="21.95" customHeight="1" x14ac:dyDescent="0.2">
      <c r="A583" s="290" t="s">
        <v>3865</v>
      </c>
      <c r="B583" s="282" t="str">
        <f>"C"&amp;MATCH(LEFT(A583,LEN(A583)-LEN("_RANGE")),A:A,0)+1&amp;":C"&amp;(ROW()-1)</f>
        <v>C583:C582</v>
      </c>
      <c r="C583" s="281"/>
      <c r="D583" s="281"/>
      <c r="E583" s="281"/>
      <c r="F583" s="281"/>
      <c r="G583" s="281"/>
      <c r="H583" s="215"/>
      <c r="I583" s="202"/>
      <c r="J583" s="202"/>
      <c r="K583" s="202"/>
      <c r="L583" s="202"/>
      <c r="M583" s="202"/>
      <c r="N583" s="202"/>
      <c r="O583" s="202"/>
      <c r="P583" s="202"/>
      <c r="Q583" s="202"/>
      <c r="R583" s="202"/>
      <c r="S583" s="202"/>
      <c r="T583" s="202"/>
      <c r="U583" s="202"/>
      <c r="V583" s="202"/>
      <c r="W583" s="202"/>
      <c r="X583" s="202"/>
      <c r="Y583" s="194"/>
    </row>
    <row r="584" spans="1:25" ht="21.95" customHeight="1" x14ac:dyDescent="0.2">
      <c r="A584" s="290" t="s">
        <v>3866</v>
      </c>
      <c r="B584" s="282">
        <f ca="1">COUNTIF(INDIRECT($B583),2)</f>
        <v>0</v>
      </c>
      <c r="C584" s="281"/>
      <c r="D584" s="281"/>
      <c r="E584" s="281"/>
      <c r="F584" s="281"/>
      <c r="G584" s="281"/>
      <c r="H584" s="215"/>
      <c r="I584" s="237" t="s">
        <v>3472</v>
      </c>
      <c r="J584" s="153"/>
      <c r="K584" s="215"/>
      <c r="L584" s="153"/>
      <c r="M584" s="215"/>
      <c r="N584" s="153"/>
      <c r="O584" s="215"/>
      <c r="P584" s="153"/>
      <c r="Q584" s="215"/>
      <c r="R584" s="153"/>
      <c r="S584" s="215"/>
      <c r="T584" s="153"/>
      <c r="U584" s="215"/>
      <c r="V584" s="153"/>
      <c r="W584" s="316"/>
      <c r="X584" s="165" t="str">
        <f ca="1">G388</f>
        <v/>
      </c>
      <c r="Y584" s="194"/>
    </row>
    <row r="585" spans="1:25" ht="21.95" customHeight="1" x14ac:dyDescent="0.2">
      <c r="A585" s="290" t="s">
        <v>3867</v>
      </c>
      <c r="B585" s="282">
        <f ca="1">COUNTIF(INDIRECT($B583),0)+COUNTIF(INDIRECT($B583),1)+COUNTIF(INDIRECT($B583),2)</f>
        <v>0</v>
      </c>
      <c r="C585" s="281"/>
      <c r="D585" s="281"/>
      <c r="E585" s="281"/>
      <c r="F585" s="281"/>
      <c r="G585" s="281"/>
      <c r="H585" s="215"/>
      <c r="I585" s="564" t="s">
        <v>3369</v>
      </c>
      <c r="J585" s="553"/>
      <c r="K585" s="553"/>
      <c r="L585" s="553"/>
      <c r="M585" s="553"/>
      <c r="N585" s="553"/>
      <c r="O585" s="553"/>
      <c r="P585" s="553"/>
      <c r="Q585" s="553"/>
      <c r="R585" s="553"/>
      <c r="S585" s="553"/>
      <c r="T585" s="553"/>
      <c r="U585" s="553"/>
      <c r="V585" s="553"/>
      <c r="W585" s="151"/>
      <c r="X585" s="153"/>
      <c r="Y585" s="194"/>
    </row>
    <row r="586" spans="1:25" ht="21.95" customHeight="1" x14ac:dyDescent="0.2">
      <c r="A586" s="290" t="s">
        <v>3868</v>
      </c>
      <c r="B586" s="282">
        <f ca="1">COUNTIF(INDIRECT($B583),0)</f>
        <v>0</v>
      </c>
      <c r="C586" s="281" t="s">
        <v>2607</v>
      </c>
      <c r="D586" s="281"/>
      <c r="E586" s="281"/>
      <c r="F586" s="281"/>
      <c r="G586" s="281"/>
      <c r="H586" s="215"/>
      <c r="I586" s="553"/>
      <c r="J586" s="553"/>
      <c r="K586" s="553"/>
      <c r="L586" s="553"/>
      <c r="M586" s="553"/>
      <c r="N586" s="553"/>
      <c r="O586" s="553"/>
      <c r="P586" s="553"/>
      <c r="Q586" s="553"/>
      <c r="R586" s="553"/>
      <c r="S586" s="553"/>
      <c r="T586" s="553"/>
      <c r="U586" s="553"/>
      <c r="V586" s="553"/>
      <c r="W586" s="151"/>
      <c r="X586" s="153"/>
      <c r="Y586" s="194"/>
    </row>
    <row r="587" spans="1:25" ht="21.95" customHeight="1" x14ac:dyDescent="0.2">
      <c r="A587" s="290" t="s">
        <v>3869</v>
      </c>
      <c r="B587" s="291">
        <f ca="1">IFERROR(B584/B585,1.01)</f>
        <v>1.01</v>
      </c>
      <c r="C587" s="281"/>
      <c r="D587" s="281"/>
      <c r="E587" s="281"/>
      <c r="F587" s="281"/>
      <c r="G587" s="281"/>
      <c r="H587" s="215"/>
      <c r="I587" s="194"/>
      <c r="J587" s="153"/>
      <c r="K587" s="194"/>
      <c r="L587" s="153"/>
      <c r="M587" s="194"/>
      <c r="N587" s="153"/>
      <c r="O587" s="194"/>
      <c r="P587" s="153"/>
      <c r="Q587" s="194"/>
      <c r="R587" s="153"/>
      <c r="S587" s="194"/>
      <c r="T587" s="153"/>
      <c r="U587" s="194"/>
      <c r="V587" s="153"/>
      <c r="W587" s="194"/>
      <c r="X587" s="153"/>
      <c r="Y587" s="194"/>
    </row>
    <row r="588" spans="1:25" ht="21.95" customHeight="1" x14ac:dyDescent="0.2">
      <c r="A588" s="290" t="s">
        <v>3870</v>
      </c>
      <c r="B588" s="292" t="str">
        <f ca="1">IF(B586&gt;0,"Data Error(s)",IF(B587=0,"Not Started",IF(B587&lt;1,ROUNDUP(B587*100,0)&amp;"% Done",IF(B587&gt;1,"Optional","Complete"))))</f>
        <v>Optional</v>
      </c>
      <c r="C588" s="281"/>
      <c r="D588" s="281"/>
      <c r="E588" s="281"/>
      <c r="F588" s="281"/>
      <c r="G588" s="281"/>
      <c r="H588" s="215"/>
      <c r="I588" s="237" t="s">
        <v>3707</v>
      </c>
      <c r="J588" s="153"/>
      <c r="K588" s="215"/>
      <c r="L588" s="153"/>
      <c r="M588" s="215"/>
      <c r="N588" s="153"/>
      <c r="O588" s="215"/>
      <c r="P588" s="153"/>
      <c r="Q588" s="215"/>
      <c r="R588" s="153"/>
      <c r="S588" s="215"/>
      <c r="T588" s="153"/>
      <c r="U588" s="215"/>
      <c r="V588" s="153"/>
      <c r="W588" s="316"/>
      <c r="X588" s="165">
        <f ca="1">G389</f>
        <v>1</v>
      </c>
      <c r="Y588" s="194"/>
    </row>
    <row r="589" spans="1:25" ht="21.95" customHeight="1" x14ac:dyDescent="0.2">
      <c r="A589" s="290" t="s">
        <v>3871</v>
      </c>
      <c r="B589" s="282">
        <f ca="1">IF(B586&gt;0,0,IF(B587&lt;1,"",2))</f>
        <v>2</v>
      </c>
      <c r="C589" s="281"/>
      <c r="D589" s="281"/>
      <c r="E589" s="281"/>
      <c r="F589" s="281"/>
      <c r="G589" s="281"/>
      <c r="H589" s="215"/>
      <c r="I589" s="564" t="s">
        <v>3703</v>
      </c>
      <c r="J589" s="553"/>
      <c r="K589" s="553"/>
      <c r="L589" s="553"/>
      <c r="M589" s="553"/>
      <c r="N589" s="553"/>
      <c r="O589" s="553"/>
      <c r="P589" s="553"/>
      <c r="Q589" s="553"/>
      <c r="R589" s="553"/>
      <c r="S589" s="553"/>
      <c r="T589" s="553"/>
      <c r="U589" s="553"/>
      <c r="V589" s="553"/>
      <c r="W589" s="194"/>
      <c r="X589" s="153"/>
      <c r="Y589" s="194"/>
    </row>
    <row r="590" spans="1:25" ht="21.95" customHeight="1" x14ac:dyDescent="0.2">
      <c r="A590" s="290" t="s">
        <v>3872</v>
      </c>
      <c r="B590" s="293" t="str">
        <f ca="1">C582&amp;" (Estimated Final Score: "&amp;TEXT(DATA_SCORE_SUM_FINAL,"0.00")&amp;")"</f>
        <v>Score Summary (Estimated Final Score: 0.00)</v>
      </c>
      <c r="C590" s="281"/>
      <c r="D590" s="281"/>
      <c r="E590" s="281"/>
      <c r="F590" s="281"/>
      <c r="G590" s="281"/>
      <c r="H590" s="215"/>
      <c r="I590" s="553"/>
      <c r="J590" s="553"/>
      <c r="K590" s="553"/>
      <c r="L590" s="553"/>
      <c r="M590" s="553"/>
      <c r="N590" s="553"/>
      <c r="O590" s="553"/>
      <c r="P590" s="553"/>
      <c r="Q590" s="553"/>
      <c r="R590" s="553"/>
      <c r="S590" s="553"/>
      <c r="T590" s="553"/>
      <c r="U590" s="553"/>
      <c r="V590" s="553"/>
      <c r="W590" s="194"/>
      <c r="X590" s="153"/>
      <c r="Y590" s="194"/>
    </row>
    <row r="591" spans="1:25" ht="21.95" customHeight="1" x14ac:dyDescent="0.2">
      <c r="A591" s="294" t="s">
        <v>3873</v>
      </c>
      <c r="B591" s="282">
        <v>0</v>
      </c>
      <c r="C591" s="281" t="s">
        <v>2462</v>
      </c>
      <c r="D591" s="281"/>
      <c r="E591" s="281"/>
      <c r="F591" s="281"/>
      <c r="G591" s="281"/>
      <c r="H591" s="215"/>
      <c r="I591" s="553"/>
      <c r="J591" s="553"/>
      <c r="K591" s="553"/>
      <c r="L591" s="553"/>
      <c r="M591" s="553"/>
      <c r="N591" s="553"/>
      <c r="O591" s="553"/>
      <c r="P591" s="553"/>
      <c r="Q591" s="553"/>
      <c r="R591" s="553"/>
      <c r="S591" s="553"/>
      <c r="T591" s="553"/>
      <c r="U591" s="553"/>
      <c r="V591" s="553"/>
      <c r="W591" s="194"/>
      <c r="X591" s="153"/>
      <c r="Y591" s="194"/>
    </row>
    <row r="592" spans="1:25" ht="21.95" customHeight="1" x14ac:dyDescent="0.2">
      <c r="A592" s="294" t="s">
        <v>3874</v>
      </c>
      <c r="B592" s="282" t="b">
        <f>(B591&gt;0)</f>
        <v>0</v>
      </c>
      <c r="C592" s="281"/>
      <c r="D592" s="281"/>
      <c r="E592" s="281"/>
      <c r="F592" s="281"/>
      <c r="G592" s="281"/>
      <c r="H592" s="215"/>
      <c r="I592" s="237" t="s">
        <v>3473</v>
      </c>
      <c r="J592" s="153"/>
      <c r="K592" s="215"/>
      <c r="L592" s="153"/>
      <c r="M592" s="215"/>
      <c r="N592" s="153"/>
      <c r="O592" s="215"/>
      <c r="P592" s="153"/>
      <c r="Q592" s="215"/>
      <c r="R592" s="153"/>
      <c r="S592" s="215"/>
      <c r="T592" s="153"/>
      <c r="U592" s="215"/>
      <c r="V592" s="153"/>
      <c r="W592" s="316"/>
      <c r="X592" s="165">
        <f ca="1">G390</f>
        <v>1</v>
      </c>
      <c r="Y592" s="194"/>
    </row>
    <row r="593" spans="1:25" ht="21.95" customHeight="1" x14ac:dyDescent="0.2">
      <c r="A593" s="301"/>
      <c r="B593" s="302"/>
      <c r="C593" s="301"/>
      <c r="D593" s="301"/>
      <c r="E593" s="301"/>
      <c r="F593" s="301"/>
      <c r="G593" s="301"/>
      <c r="H593" s="215"/>
      <c r="I593" s="564" t="s">
        <v>3058</v>
      </c>
      <c r="J593" s="553"/>
      <c r="K593" s="553"/>
      <c r="L593" s="553"/>
      <c r="M593" s="553"/>
      <c r="N593" s="553"/>
      <c r="O593" s="553"/>
      <c r="P593" s="553"/>
      <c r="Q593" s="553"/>
      <c r="R593" s="553"/>
      <c r="S593" s="553"/>
      <c r="T593" s="553"/>
      <c r="U593" s="553"/>
      <c r="V593" s="553"/>
      <c r="W593" s="194"/>
      <c r="X593" s="153"/>
      <c r="Y593" s="194"/>
    </row>
    <row r="594" spans="1:25" ht="21.95" customHeight="1" x14ac:dyDescent="0.2">
      <c r="A594" s="301"/>
      <c r="B594" s="302"/>
      <c r="C594" s="301"/>
      <c r="D594" s="301"/>
      <c r="E594" s="301"/>
      <c r="F594" s="301"/>
      <c r="G594" s="301"/>
      <c r="H594" s="215"/>
      <c r="I594" s="553"/>
      <c r="J594" s="553"/>
      <c r="K594" s="553"/>
      <c r="L594" s="553"/>
      <c r="M594" s="553"/>
      <c r="N594" s="553"/>
      <c r="O594" s="553"/>
      <c r="P594" s="553"/>
      <c r="Q594" s="553"/>
      <c r="R594" s="553"/>
      <c r="S594" s="553"/>
      <c r="T594" s="553"/>
      <c r="U594" s="553"/>
      <c r="V594" s="553"/>
      <c r="W594" s="194"/>
      <c r="X594" s="153"/>
      <c r="Y594" s="194"/>
    </row>
    <row r="595" spans="1:25" ht="21.95" customHeight="1" x14ac:dyDescent="0.2">
      <c r="A595" s="301"/>
      <c r="B595" s="302"/>
      <c r="C595" s="301"/>
      <c r="D595" s="301"/>
      <c r="E595" s="301"/>
      <c r="F595" s="301"/>
      <c r="G595" s="301"/>
      <c r="H595" s="215"/>
      <c r="I595" s="194"/>
      <c r="J595" s="153"/>
      <c r="K595" s="194"/>
      <c r="L595" s="153"/>
      <c r="M595" s="194"/>
      <c r="N595" s="153"/>
      <c r="O595" s="194"/>
      <c r="P595" s="153"/>
      <c r="Q595" s="194"/>
      <c r="R595" s="153"/>
      <c r="S595" s="194"/>
      <c r="T595" s="153"/>
      <c r="U595" s="194"/>
      <c r="V595" s="153"/>
      <c r="W595" s="194"/>
      <c r="X595" s="153"/>
      <c r="Y595" s="194"/>
    </row>
    <row r="596" spans="1:25" ht="21.95" customHeight="1" x14ac:dyDescent="0.2">
      <c r="A596" s="301"/>
      <c r="B596" s="302"/>
      <c r="C596" s="301"/>
      <c r="D596" s="301"/>
      <c r="E596" s="301"/>
      <c r="F596" s="301"/>
      <c r="G596" s="301"/>
      <c r="H596" s="215"/>
      <c r="I596" s="237" t="s">
        <v>3474</v>
      </c>
      <c r="J596" s="153"/>
      <c r="K596" s="215"/>
      <c r="L596" s="153"/>
      <c r="M596" s="215"/>
      <c r="N596" s="153"/>
      <c r="O596" s="215"/>
      <c r="P596" s="153"/>
      <c r="Q596" s="215"/>
      <c r="R596" s="153"/>
      <c r="S596" s="215"/>
      <c r="T596" s="153"/>
      <c r="U596" s="215"/>
      <c r="V596" s="153"/>
      <c r="W596" s="316"/>
      <c r="X596" s="165">
        <f ca="1">G391</f>
        <v>1</v>
      </c>
      <c r="Y596" s="194"/>
    </row>
    <row r="597" spans="1:25" ht="21.95" customHeight="1" x14ac:dyDescent="0.2">
      <c r="A597" s="301"/>
      <c r="B597" s="302"/>
      <c r="C597" s="301"/>
      <c r="D597" s="301"/>
      <c r="E597" s="301"/>
      <c r="F597" s="301"/>
      <c r="G597" s="301"/>
      <c r="H597" s="215"/>
      <c r="I597" s="564" t="s">
        <v>3059</v>
      </c>
      <c r="J597" s="553"/>
      <c r="K597" s="553"/>
      <c r="L597" s="553"/>
      <c r="M597" s="553"/>
      <c r="N597" s="553"/>
      <c r="O597" s="553"/>
      <c r="P597" s="553"/>
      <c r="Q597" s="553"/>
      <c r="R597" s="553"/>
      <c r="S597" s="553"/>
      <c r="T597" s="553"/>
      <c r="U597" s="553"/>
      <c r="V597" s="553"/>
      <c r="W597" s="194"/>
      <c r="X597" s="153"/>
      <c r="Y597" s="194"/>
    </row>
    <row r="598" spans="1:25" ht="21.95" customHeight="1" x14ac:dyDescent="0.2">
      <c r="A598" s="301"/>
      <c r="B598" s="302"/>
      <c r="C598" s="301"/>
      <c r="D598" s="301"/>
      <c r="E598" s="301"/>
      <c r="F598" s="301"/>
      <c r="G598" s="301"/>
      <c r="H598" s="215"/>
      <c r="I598" s="553"/>
      <c r="J598" s="553"/>
      <c r="K598" s="553"/>
      <c r="L598" s="553"/>
      <c r="M598" s="553"/>
      <c r="N598" s="553"/>
      <c r="O598" s="553"/>
      <c r="P598" s="553"/>
      <c r="Q598" s="553"/>
      <c r="R598" s="553"/>
      <c r="S598" s="553"/>
      <c r="T598" s="553"/>
      <c r="U598" s="553"/>
      <c r="V598" s="553"/>
      <c r="W598" s="194"/>
      <c r="X598" s="153"/>
      <c r="Y598" s="194"/>
    </row>
    <row r="599" spans="1:25" ht="21.95" customHeight="1" x14ac:dyDescent="0.2">
      <c r="A599" s="301"/>
      <c r="B599" s="302"/>
      <c r="C599" s="301"/>
      <c r="D599" s="301"/>
      <c r="E599" s="301"/>
      <c r="F599" s="301"/>
      <c r="G599" s="301"/>
      <c r="H599" s="215"/>
      <c r="I599" s="553"/>
      <c r="J599" s="553"/>
      <c r="K599" s="553"/>
      <c r="L599" s="553"/>
      <c r="M599" s="553"/>
      <c r="N599" s="553"/>
      <c r="O599" s="553"/>
      <c r="P599" s="553"/>
      <c r="Q599" s="553"/>
      <c r="R599" s="553"/>
      <c r="S599" s="553"/>
      <c r="T599" s="553"/>
      <c r="U599" s="553"/>
      <c r="V599" s="553"/>
      <c r="W599" s="194"/>
      <c r="X599" s="153"/>
      <c r="Y599" s="194"/>
    </row>
    <row r="600" spans="1:25" ht="21.95" customHeight="1" x14ac:dyDescent="0.2">
      <c r="A600" s="301"/>
      <c r="B600" s="302"/>
      <c r="C600" s="301"/>
      <c r="D600" s="301"/>
      <c r="E600" s="301"/>
      <c r="F600" s="301"/>
      <c r="G600" s="301"/>
      <c r="H600" s="215"/>
      <c r="I600" s="553"/>
      <c r="J600" s="553"/>
      <c r="K600" s="553"/>
      <c r="L600" s="553"/>
      <c r="M600" s="553"/>
      <c r="N600" s="553"/>
      <c r="O600" s="553"/>
      <c r="P600" s="553"/>
      <c r="Q600" s="553"/>
      <c r="R600" s="553"/>
      <c r="S600" s="553"/>
      <c r="T600" s="553"/>
      <c r="U600" s="553"/>
      <c r="V600" s="553"/>
      <c r="W600" s="194"/>
      <c r="X600" s="153"/>
      <c r="Y600" s="194"/>
    </row>
    <row r="601" spans="1:25" ht="21.95" customHeight="1" x14ac:dyDescent="0.2">
      <c r="A601" s="301"/>
      <c r="B601" s="302"/>
      <c r="C601" s="301"/>
      <c r="D601" s="301"/>
      <c r="E601" s="301"/>
      <c r="F601" s="301"/>
      <c r="G601" s="301"/>
      <c r="H601" s="215"/>
      <c r="I601" s="237" t="s">
        <v>3475</v>
      </c>
      <c r="J601" s="153"/>
      <c r="K601" s="215"/>
      <c r="L601" s="153"/>
      <c r="M601" s="215"/>
      <c r="N601" s="153"/>
      <c r="O601" s="215"/>
      <c r="P601" s="153"/>
      <c r="Q601" s="215"/>
      <c r="R601" s="153"/>
      <c r="S601" s="215"/>
      <c r="T601" s="153"/>
      <c r="U601" s="215"/>
      <c r="V601" s="153"/>
      <c r="W601" s="316"/>
      <c r="X601" s="165">
        <f ca="1">G392</f>
        <v>1</v>
      </c>
      <c r="Y601" s="194"/>
    </row>
    <row r="602" spans="1:25" ht="21.95" customHeight="1" x14ac:dyDescent="0.2">
      <c r="A602" s="301"/>
      <c r="B602" s="302"/>
      <c r="C602" s="301"/>
      <c r="D602" s="301"/>
      <c r="E602" s="301"/>
      <c r="F602" s="301"/>
      <c r="G602" s="301"/>
      <c r="H602" s="215"/>
      <c r="I602" s="564" t="s">
        <v>3060</v>
      </c>
      <c r="J602" s="553"/>
      <c r="K602" s="553"/>
      <c r="L602" s="553"/>
      <c r="M602" s="553"/>
      <c r="N602" s="553"/>
      <c r="O602" s="553"/>
      <c r="P602" s="553"/>
      <c r="Q602" s="553"/>
      <c r="R602" s="553"/>
      <c r="S602" s="553"/>
      <c r="T602" s="553"/>
      <c r="U602" s="553"/>
      <c r="V602" s="553"/>
      <c r="W602" s="194"/>
      <c r="X602" s="153"/>
      <c r="Y602" s="194"/>
    </row>
    <row r="603" spans="1:25" ht="21.95" customHeight="1" x14ac:dyDescent="0.2">
      <c r="A603" s="301"/>
      <c r="B603" s="302"/>
      <c r="C603" s="301"/>
      <c r="D603" s="301"/>
      <c r="E603" s="301"/>
      <c r="F603" s="301"/>
      <c r="G603" s="301"/>
      <c r="H603" s="215"/>
      <c r="I603" s="553"/>
      <c r="J603" s="553"/>
      <c r="K603" s="553"/>
      <c r="L603" s="553"/>
      <c r="M603" s="553"/>
      <c r="N603" s="553"/>
      <c r="O603" s="553"/>
      <c r="P603" s="553"/>
      <c r="Q603" s="553"/>
      <c r="R603" s="553"/>
      <c r="S603" s="553"/>
      <c r="T603" s="553"/>
      <c r="U603" s="553"/>
      <c r="V603" s="553"/>
      <c r="W603" s="194"/>
      <c r="X603" s="153"/>
      <c r="Y603" s="194"/>
    </row>
    <row r="604" spans="1:25" ht="21.95" customHeight="1" x14ac:dyDescent="0.2">
      <c r="A604" s="301"/>
      <c r="B604" s="302"/>
      <c r="C604" s="301"/>
      <c r="D604" s="301"/>
      <c r="E604" s="301"/>
      <c r="F604" s="301"/>
      <c r="G604" s="301"/>
      <c r="H604" s="215"/>
      <c r="I604" s="194"/>
      <c r="J604" s="153"/>
      <c r="K604" s="194"/>
      <c r="L604" s="153"/>
      <c r="M604" s="194"/>
      <c r="N604" s="153"/>
      <c r="O604" s="194"/>
      <c r="P604" s="153"/>
      <c r="Q604" s="194"/>
      <c r="R604" s="153"/>
      <c r="S604" s="194"/>
      <c r="T604" s="153"/>
      <c r="U604" s="194"/>
      <c r="V604" s="153"/>
      <c r="W604" s="194"/>
      <c r="X604" s="153"/>
      <c r="Y604" s="194"/>
    </row>
    <row r="605" spans="1:25" ht="21.95" customHeight="1" thickBot="1" x14ac:dyDescent="0.25">
      <c r="A605" s="301"/>
      <c r="B605" s="302"/>
      <c r="C605" s="301"/>
      <c r="D605" s="301"/>
      <c r="E605" s="301"/>
      <c r="F605" s="301"/>
      <c r="G605" s="301"/>
      <c r="H605" s="215"/>
      <c r="I605" s="424" t="str">
        <f>B520</f>
        <v>Community Stability, Including Affordable Housing Preservation (Maximum Points: 14)</v>
      </c>
      <c r="J605" s="269"/>
      <c r="K605" s="269"/>
      <c r="L605" s="269"/>
      <c r="M605" s="269"/>
      <c r="N605" s="269"/>
      <c r="O605" s="269"/>
      <c r="P605" s="269"/>
      <c r="Q605" s="269"/>
      <c r="R605" s="269"/>
      <c r="S605" s="269"/>
      <c r="T605" s="269"/>
      <c r="U605" s="269"/>
      <c r="V605" s="269"/>
      <c r="W605" s="269"/>
      <c r="X605" s="167" t="str">
        <f ca="1">"Status: "&amp;$B$539</f>
        <v>Status: Not Started</v>
      </c>
      <c r="Y605" s="194"/>
    </row>
    <row r="606" spans="1:25" ht="21.95" customHeight="1" x14ac:dyDescent="0.2">
      <c r="A606" s="301"/>
      <c r="B606" s="302"/>
      <c r="C606" s="301"/>
      <c r="D606" s="301"/>
      <c r="E606" s="301"/>
      <c r="F606" s="301"/>
      <c r="G606" s="301"/>
      <c r="H606" s="215"/>
      <c r="I606" s="263"/>
      <c r="J606" s="153"/>
      <c r="K606" s="194"/>
      <c r="L606" s="153"/>
      <c r="M606" s="194"/>
      <c r="N606" s="153"/>
      <c r="O606" s="194"/>
      <c r="P606" s="153"/>
      <c r="Q606" s="194"/>
      <c r="R606" s="153"/>
      <c r="S606" s="194"/>
      <c r="T606" s="153"/>
      <c r="U606" s="194"/>
      <c r="V606" s="153"/>
      <c r="W606" s="194"/>
      <c r="X606" s="153"/>
      <c r="Y606" s="194"/>
    </row>
    <row r="607" spans="1:25" ht="21.95" customHeight="1" x14ac:dyDescent="0.2">
      <c r="A607" s="301"/>
      <c r="B607" s="302"/>
      <c r="C607" s="301"/>
      <c r="D607" s="301"/>
      <c r="E607" s="301"/>
      <c r="F607" s="301"/>
      <c r="G607" s="301"/>
      <c r="H607" s="215"/>
      <c r="I607" s="499" t="s">
        <v>3687</v>
      </c>
      <c r="J607" s="499"/>
      <c r="K607" s="499"/>
      <c r="L607" s="499"/>
      <c r="M607" s="499"/>
      <c r="N607" s="499"/>
      <c r="O607" s="499"/>
      <c r="P607" s="499"/>
      <c r="Q607" s="499"/>
      <c r="R607" s="499"/>
      <c r="S607" s="499"/>
      <c r="T607" s="499"/>
      <c r="U607" s="499"/>
      <c r="V607" s="499"/>
      <c r="W607" s="499"/>
      <c r="X607" s="153"/>
      <c r="Y607" s="194"/>
    </row>
    <row r="608" spans="1:25" ht="21.95" customHeight="1" x14ac:dyDescent="0.2">
      <c r="A608" s="301"/>
      <c r="B608" s="302"/>
      <c r="C608" s="301"/>
      <c r="D608" s="301"/>
      <c r="E608" s="301"/>
      <c r="F608" s="301"/>
      <c r="G608" s="301"/>
      <c r="H608" s="215"/>
      <c r="I608" s="499"/>
      <c r="J608" s="499"/>
      <c r="K608" s="499"/>
      <c r="L608" s="499"/>
      <c r="M608" s="499"/>
      <c r="N608" s="499"/>
      <c r="O608" s="499"/>
      <c r="P608" s="499"/>
      <c r="Q608" s="499"/>
      <c r="R608" s="499"/>
      <c r="S608" s="499"/>
      <c r="T608" s="499"/>
      <c r="U608" s="499"/>
      <c r="V608" s="499"/>
      <c r="W608" s="499"/>
      <c r="X608" s="153"/>
      <c r="Y608" s="194"/>
    </row>
    <row r="609" spans="1:25" ht="21.95" customHeight="1" x14ac:dyDescent="0.2">
      <c r="A609" s="301"/>
      <c r="B609" s="302"/>
      <c r="C609" s="301"/>
      <c r="D609" s="301"/>
      <c r="E609" s="301"/>
      <c r="F609" s="301"/>
      <c r="G609" s="301"/>
      <c r="H609" s="215"/>
      <c r="I609" s="499"/>
      <c r="J609" s="499"/>
      <c r="K609" s="499"/>
      <c r="L609" s="499"/>
      <c r="M609" s="499"/>
      <c r="N609" s="499"/>
      <c r="O609" s="499"/>
      <c r="P609" s="499"/>
      <c r="Q609" s="499"/>
      <c r="R609" s="499"/>
      <c r="S609" s="499"/>
      <c r="T609" s="499"/>
      <c r="U609" s="499"/>
      <c r="V609" s="499"/>
      <c r="W609" s="499"/>
      <c r="X609" s="153"/>
      <c r="Y609" s="194"/>
    </row>
    <row r="610" spans="1:25" ht="21.95" customHeight="1" x14ac:dyDescent="0.2">
      <c r="A610" s="301"/>
      <c r="B610" s="302"/>
      <c r="C610" s="301"/>
      <c r="D610" s="301"/>
      <c r="E610" s="301"/>
      <c r="F610" s="301"/>
      <c r="G610" s="301"/>
      <c r="H610" s="215"/>
      <c r="I610" s="499"/>
      <c r="J610" s="499"/>
      <c r="K610" s="499"/>
      <c r="L610" s="499"/>
      <c r="M610" s="499"/>
      <c r="N610" s="499"/>
      <c r="O610" s="499"/>
      <c r="P610" s="499"/>
      <c r="Q610" s="499"/>
      <c r="R610" s="499"/>
      <c r="S610" s="499"/>
      <c r="T610" s="499"/>
      <c r="U610" s="499"/>
      <c r="V610" s="499"/>
      <c r="W610" s="499"/>
      <c r="X610" s="153"/>
      <c r="Y610" s="194"/>
    </row>
    <row r="611" spans="1:25" ht="21.95" customHeight="1" x14ac:dyDescent="0.2">
      <c r="A611" s="301"/>
      <c r="B611" s="302"/>
      <c r="C611" s="301"/>
      <c r="D611" s="301"/>
      <c r="E611" s="301"/>
      <c r="F611" s="301"/>
      <c r="G611" s="301"/>
      <c r="H611" s="215"/>
      <c r="I611" s="499"/>
      <c r="J611" s="499"/>
      <c r="K611" s="499"/>
      <c r="L611" s="499"/>
      <c r="M611" s="499"/>
      <c r="N611" s="499"/>
      <c r="O611" s="499"/>
      <c r="P611" s="499"/>
      <c r="Q611" s="499"/>
      <c r="R611" s="499"/>
      <c r="S611" s="499"/>
      <c r="T611" s="499"/>
      <c r="U611" s="499"/>
      <c r="V611" s="499"/>
      <c r="W611" s="499"/>
      <c r="X611" s="153"/>
      <c r="Y611" s="194"/>
    </row>
    <row r="612" spans="1:25" ht="21.95" customHeight="1" x14ac:dyDescent="0.2">
      <c r="A612" s="301"/>
      <c r="B612" s="302"/>
      <c r="C612" s="301"/>
      <c r="D612" s="301"/>
      <c r="E612" s="301"/>
      <c r="F612" s="301"/>
      <c r="G612" s="301"/>
      <c r="H612" s="215"/>
      <c r="I612" s="499"/>
      <c r="J612" s="499"/>
      <c r="K612" s="499"/>
      <c r="L612" s="499"/>
      <c r="M612" s="499"/>
      <c r="N612" s="499"/>
      <c r="O612" s="499"/>
      <c r="P612" s="499"/>
      <c r="Q612" s="499"/>
      <c r="R612" s="499"/>
      <c r="S612" s="499"/>
      <c r="T612" s="499"/>
      <c r="U612" s="499"/>
      <c r="V612" s="499"/>
      <c r="W612" s="499"/>
      <c r="X612" s="153"/>
      <c r="Y612" s="194"/>
    </row>
    <row r="613" spans="1:25" ht="21.95" customHeight="1" x14ac:dyDescent="0.2">
      <c r="A613" s="301"/>
      <c r="B613" s="302"/>
      <c r="C613" s="301"/>
      <c r="D613" s="301"/>
      <c r="E613" s="301"/>
      <c r="F613" s="301"/>
      <c r="G613" s="301"/>
      <c r="H613" s="215"/>
      <c r="I613" s="263"/>
      <c r="J613" s="153"/>
      <c r="K613" s="194"/>
      <c r="L613" s="153"/>
      <c r="M613" s="194"/>
      <c r="N613" s="153"/>
      <c r="O613" s="194"/>
      <c r="P613" s="153"/>
      <c r="Q613" s="194"/>
      <c r="R613" s="153"/>
      <c r="S613" s="194"/>
      <c r="T613" s="153"/>
      <c r="U613" s="194"/>
      <c r="V613" s="153"/>
      <c r="W613" s="194"/>
      <c r="X613" s="153"/>
      <c r="Y613" s="194"/>
    </row>
    <row r="614" spans="1:25" ht="21.95" customHeight="1" thickBot="1" x14ac:dyDescent="0.25">
      <c r="A614" s="301"/>
      <c r="B614" s="302"/>
      <c r="C614" s="301"/>
      <c r="D614" s="301"/>
      <c r="E614" s="301"/>
      <c r="F614" s="301"/>
      <c r="G614" s="301"/>
      <c r="H614" s="215"/>
      <c r="I614" s="216" t="s">
        <v>3708</v>
      </c>
      <c r="J614" s="217"/>
      <c r="K614" s="223"/>
      <c r="L614" s="217"/>
      <c r="M614" s="223"/>
      <c r="N614" s="217"/>
      <c r="O614" s="223"/>
      <c r="P614" s="217"/>
      <c r="Q614" s="255"/>
      <c r="R614" s="217"/>
      <c r="S614" s="223"/>
      <c r="T614" s="217"/>
      <c r="U614" s="223"/>
      <c r="V614" s="217"/>
      <c r="W614" s="223"/>
      <c r="X614" s="153"/>
      <c r="Y614" s="194"/>
    </row>
    <row r="615" spans="1:25" ht="21.95" customHeight="1" thickTop="1" x14ac:dyDescent="0.2">
      <c r="A615" s="301"/>
      <c r="B615" s="302"/>
      <c r="C615" s="301"/>
      <c r="D615" s="301"/>
      <c r="E615" s="301"/>
      <c r="F615" s="301"/>
      <c r="G615" s="301"/>
      <c r="H615" s="215"/>
      <c r="I615" s="194"/>
      <c r="J615" s="153"/>
      <c r="K615" s="194"/>
      <c r="L615" s="153"/>
      <c r="M615" s="194"/>
      <c r="N615" s="153"/>
      <c r="O615" s="194"/>
      <c r="P615" s="153"/>
      <c r="Q615" s="194"/>
      <c r="R615" s="153"/>
      <c r="S615" s="194"/>
      <c r="T615" s="153"/>
      <c r="U615" s="194"/>
      <c r="V615" s="153"/>
      <c r="W615" s="194"/>
      <c r="X615" s="153"/>
      <c r="Y615" s="194"/>
    </row>
    <row r="616" spans="1:25" ht="21.95" customHeight="1" x14ac:dyDescent="0.2">
      <c r="A616" s="301"/>
      <c r="B616" s="302"/>
      <c r="C616" s="301"/>
      <c r="D616" s="301"/>
      <c r="E616" s="301"/>
      <c r="F616" s="301"/>
      <c r="G616" s="301"/>
      <c r="H616" s="152"/>
      <c r="I616" s="681" t="s">
        <v>3720</v>
      </c>
      <c r="J616" s="682"/>
      <c r="K616" s="682"/>
      <c r="L616" s="682"/>
      <c r="M616" s="682"/>
      <c r="N616" s="682"/>
      <c r="O616" s="682"/>
      <c r="P616" s="682"/>
      <c r="Q616" s="682"/>
      <c r="R616" s="682"/>
      <c r="S616" s="682"/>
      <c r="T616" s="682"/>
      <c r="U616" s="682"/>
      <c r="V616" s="682"/>
      <c r="W616" s="682"/>
      <c r="X616" s="165">
        <f ca="1">G521</f>
        <v>1</v>
      </c>
      <c r="Y616" s="194"/>
    </row>
    <row r="617" spans="1:25" ht="21.95" customHeight="1" x14ac:dyDescent="0.2">
      <c r="A617" s="301"/>
      <c r="B617" s="302"/>
      <c r="C617" s="301"/>
      <c r="D617" s="301"/>
      <c r="E617" s="301"/>
      <c r="F617" s="301"/>
      <c r="G617" s="301"/>
      <c r="H617" s="266" t="str">
        <f>IF($B$521=1,"Y","")</f>
        <v/>
      </c>
      <c r="I617" s="473" t="s">
        <v>3328</v>
      </c>
      <c r="J617" s="474"/>
      <c r="K617" s="474"/>
      <c r="L617" s="474"/>
      <c r="M617" s="474"/>
      <c r="N617" s="474"/>
      <c r="O617" s="474"/>
      <c r="P617" s="474"/>
      <c r="Q617" s="474"/>
      <c r="R617" s="474"/>
      <c r="S617" s="474"/>
      <c r="T617" s="474"/>
      <c r="U617" s="474"/>
      <c r="V617" s="474"/>
      <c r="W617" s="474"/>
      <c r="X617" s="153"/>
      <c r="Y617" s="194"/>
    </row>
    <row r="618" spans="1:25" ht="21.95" customHeight="1" x14ac:dyDescent="0.2">
      <c r="A618" s="301"/>
      <c r="B618" s="302"/>
      <c r="C618" s="301"/>
      <c r="D618" s="301"/>
      <c r="E618" s="301"/>
      <c r="F618" s="301"/>
      <c r="G618" s="301"/>
      <c r="H618" s="267"/>
      <c r="I618" s="677" t="s">
        <v>3653</v>
      </c>
      <c r="J618" s="678"/>
      <c r="K618" s="678"/>
      <c r="L618" s="678"/>
      <c r="M618" s="678"/>
      <c r="N618" s="678"/>
      <c r="O618" s="678"/>
      <c r="P618" s="678"/>
      <c r="Q618" s="678"/>
      <c r="R618" s="678"/>
      <c r="S618" s="678"/>
      <c r="T618" s="678"/>
      <c r="U618" s="678"/>
      <c r="V618" s="678"/>
      <c r="W618" s="678"/>
      <c r="X618" s="153"/>
      <c r="Y618" s="194"/>
    </row>
    <row r="619" spans="1:25" ht="21.95" customHeight="1" x14ac:dyDescent="0.2">
      <c r="A619" s="301"/>
      <c r="B619" s="302"/>
      <c r="C619" s="301"/>
      <c r="D619" s="301"/>
      <c r="E619" s="301"/>
      <c r="F619" s="301"/>
      <c r="G619" s="301"/>
      <c r="H619" s="267"/>
      <c r="I619" s="678"/>
      <c r="J619" s="678"/>
      <c r="K619" s="678"/>
      <c r="L619" s="678"/>
      <c r="M619" s="678"/>
      <c r="N619" s="678"/>
      <c r="O619" s="678"/>
      <c r="P619" s="678"/>
      <c r="Q619" s="678"/>
      <c r="R619" s="678"/>
      <c r="S619" s="678"/>
      <c r="T619" s="678"/>
      <c r="U619" s="678"/>
      <c r="V619" s="678"/>
      <c r="W619" s="678"/>
      <c r="X619" s="153"/>
      <c r="Y619" s="194"/>
    </row>
    <row r="620" spans="1:25" ht="21.95" customHeight="1" x14ac:dyDescent="0.2">
      <c r="A620" s="301"/>
      <c r="B620" s="302"/>
      <c r="C620" s="301"/>
      <c r="D620" s="301"/>
      <c r="E620" s="301"/>
      <c r="F620" s="301"/>
      <c r="G620" s="301"/>
      <c r="H620" s="267"/>
      <c r="I620" s="678"/>
      <c r="J620" s="678"/>
      <c r="K620" s="678"/>
      <c r="L620" s="678"/>
      <c r="M620" s="678"/>
      <c r="N620" s="678"/>
      <c r="O620" s="678"/>
      <c r="P620" s="678"/>
      <c r="Q620" s="678"/>
      <c r="R620" s="678"/>
      <c r="S620" s="678"/>
      <c r="T620" s="678"/>
      <c r="U620" s="678"/>
      <c r="V620" s="678"/>
      <c r="W620" s="678"/>
      <c r="X620" s="153"/>
      <c r="Y620" s="194"/>
    </row>
    <row r="621" spans="1:25" ht="21.95" customHeight="1" x14ac:dyDescent="0.2">
      <c r="A621" s="301"/>
      <c r="B621" s="302"/>
      <c r="C621" s="301"/>
      <c r="D621" s="301"/>
      <c r="E621" s="301"/>
      <c r="F621" s="301"/>
      <c r="G621" s="301"/>
      <c r="H621" s="266" t="str">
        <f>IF($B$521=2,"Y","")</f>
        <v/>
      </c>
      <c r="I621" s="473" t="s">
        <v>3329</v>
      </c>
      <c r="J621" s="474"/>
      <c r="K621" s="474"/>
      <c r="L621" s="474"/>
      <c r="M621" s="474"/>
      <c r="N621" s="474"/>
      <c r="O621" s="474"/>
      <c r="P621" s="474"/>
      <c r="Q621" s="474"/>
      <c r="R621" s="474"/>
      <c r="S621" s="474"/>
      <c r="T621" s="474"/>
      <c r="U621" s="474"/>
      <c r="V621" s="474"/>
      <c r="W621" s="474"/>
      <c r="X621" s="153"/>
      <c r="Y621" s="194"/>
    </row>
    <row r="622" spans="1:25" ht="21.95" customHeight="1" x14ac:dyDescent="0.2">
      <c r="A622" s="301"/>
      <c r="B622" s="302"/>
      <c r="C622" s="301"/>
      <c r="D622" s="301"/>
      <c r="E622" s="301"/>
      <c r="F622" s="301"/>
      <c r="G622" s="301"/>
      <c r="H622" s="267"/>
      <c r="I622" s="677" t="s">
        <v>3395</v>
      </c>
      <c r="J622" s="678"/>
      <c r="K622" s="678"/>
      <c r="L622" s="678"/>
      <c r="M622" s="678"/>
      <c r="N622" s="678"/>
      <c r="O622" s="678"/>
      <c r="P622" s="678"/>
      <c r="Q622" s="678"/>
      <c r="R622" s="678"/>
      <c r="S622" s="678"/>
      <c r="T622" s="678"/>
      <c r="U622" s="678"/>
      <c r="V622" s="678"/>
      <c r="W622" s="678"/>
      <c r="X622" s="153"/>
      <c r="Y622" s="194"/>
    </row>
    <row r="623" spans="1:25" ht="21.95" customHeight="1" x14ac:dyDescent="0.2">
      <c r="A623" s="301"/>
      <c r="B623" s="302"/>
      <c r="C623" s="301"/>
      <c r="D623" s="301"/>
      <c r="E623" s="301"/>
      <c r="F623" s="301"/>
      <c r="G623" s="301"/>
      <c r="H623" s="267"/>
      <c r="I623" s="678"/>
      <c r="J623" s="678"/>
      <c r="K623" s="678"/>
      <c r="L623" s="678"/>
      <c r="M623" s="678"/>
      <c r="N623" s="678"/>
      <c r="O623" s="678"/>
      <c r="P623" s="678"/>
      <c r="Q623" s="678"/>
      <c r="R623" s="678"/>
      <c r="S623" s="678"/>
      <c r="T623" s="678"/>
      <c r="U623" s="678"/>
      <c r="V623" s="678"/>
      <c r="W623" s="678"/>
      <c r="X623" s="153"/>
      <c r="Y623" s="194"/>
    </row>
    <row r="624" spans="1:25" ht="21.95" customHeight="1" x14ac:dyDescent="0.2">
      <c r="A624" s="301"/>
      <c r="B624" s="302"/>
      <c r="C624" s="301"/>
      <c r="D624" s="301"/>
      <c r="E624" s="301"/>
      <c r="F624" s="301"/>
      <c r="G624" s="301"/>
      <c r="H624" s="267"/>
      <c r="I624" s="678"/>
      <c r="J624" s="678"/>
      <c r="K624" s="678"/>
      <c r="L624" s="678"/>
      <c r="M624" s="678"/>
      <c r="N624" s="678"/>
      <c r="O624" s="678"/>
      <c r="P624" s="678"/>
      <c r="Q624" s="678"/>
      <c r="R624" s="678"/>
      <c r="S624" s="678"/>
      <c r="T624" s="678"/>
      <c r="U624" s="678"/>
      <c r="V624" s="678"/>
      <c r="W624" s="678"/>
      <c r="X624" s="153"/>
      <c r="Y624" s="194"/>
    </row>
    <row r="625" spans="1:25" ht="21.95" customHeight="1" x14ac:dyDescent="0.2">
      <c r="A625" s="301"/>
      <c r="B625" s="302"/>
      <c r="C625" s="301"/>
      <c r="D625" s="301"/>
      <c r="E625" s="301"/>
      <c r="F625" s="301"/>
      <c r="G625" s="301"/>
      <c r="H625" s="266" t="str">
        <f>IF($B$521=3,"Y","")</f>
        <v/>
      </c>
      <c r="I625" s="473" t="s">
        <v>3713</v>
      </c>
      <c r="J625" s="474"/>
      <c r="K625" s="474"/>
      <c r="L625" s="474"/>
      <c r="M625" s="474"/>
      <c r="N625" s="474"/>
      <c r="O625" s="474"/>
      <c r="P625" s="474"/>
      <c r="Q625" s="474"/>
      <c r="R625" s="474"/>
      <c r="S625" s="474"/>
      <c r="T625" s="474"/>
      <c r="U625" s="474"/>
      <c r="V625" s="474"/>
      <c r="W625" s="474"/>
      <c r="X625" s="153"/>
      <c r="Y625" s="194"/>
    </row>
    <row r="626" spans="1:25" ht="21.95" customHeight="1" x14ac:dyDescent="0.2">
      <c r="A626" s="301"/>
      <c r="B626" s="302"/>
      <c r="C626" s="301"/>
      <c r="D626" s="301"/>
      <c r="E626" s="301"/>
      <c r="F626" s="301"/>
      <c r="G626" s="301"/>
      <c r="H626" s="267"/>
      <c r="I626" s="677" t="s">
        <v>3710</v>
      </c>
      <c r="J626" s="678"/>
      <c r="K626" s="678"/>
      <c r="L626" s="678"/>
      <c r="M626" s="678"/>
      <c r="N626" s="678"/>
      <c r="O626" s="678"/>
      <c r="P626" s="678"/>
      <c r="Q626" s="678"/>
      <c r="R626" s="678"/>
      <c r="S626" s="678"/>
      <c r="T626" s="678"/>
      <c r="U626" s="678"/>
      <c r="V626" s="678"/>
      <c r="W626" s="678"/>
      <c r="X626" s="153"/>
      <c r="Y626" s="194"/>
    </row>
    <row r="627" spans="1:25" ht="21.95" customHeight="1" x14ac:dyDescent="0.2">
      <c r="A627" s="301"/>
      <c r="B627" s="302"/>
      <c r="C627" s="301"/>
      <c r="D627" s="301"/>
      <c r="E627" s="301"/>
      <c r="F627" s="301"/>
      <c r="G627" s="301"/>
      <c r="H627" s="267"/>
      <c r="I627" s="678"/>
      <c r="J627" s="678"/>
      <c r="K627" s="678"/>
      <c r="L627" s="678"/>
      <c r="M627" s="678"/>
      <c r="N627" s="678"/>
      <c r="O627" s="678"/>
      <c r="P627" s="678"/>
      <c r="Q627" s="678"/>
      <c r="R627" s="678"/>
      <c r="S627" s="678"/>
      <c r="T627" s="678"/>
      <c r="U627" s="678"/>
      <c r="V627" s="678"/>
      <c r="W627" s="678"/>
      <c r="X627" s="153"/>
      <c r="Y627" s="194"/>
    </row>
    <row r="628" spans="1:25" ht="21.95" customHeight="1" x14ac:dyDescent="0.2">
      <c r="A628" s="301"/>
      <c r="B628" s="302"/>
      <c r="C628" s="301"/>
      <c r="D628" s="301"/>
      <c r="E628" s="301"/>
      <c r="F628" s="301"/>
      <c r="G628" s="301"/>
      <c r="H628" s="267"/>
      <c r="I628" s="678"/>
      <c r="J628" s="678"/>
      <c r="K628" s="678"/>
      <c r="L628" s="678"/>
      <c r="M628" s="678"/>
      <c r="N628" s="678"/>
      <c r="O628" s="678"/>
      <c r="P628" s="678"/>
      <c r="Q628" s="678"/>
      <c r="R628" s="678"/>
      <c r="S628" s="678"/>
      <c r="T628" s="678"/>
      <c r="U628" s="678"/>
      <c r="V628" s="678"/>
      <c r="W628" s="678"/>
      <c r="X628" s="153"/>
      <c r="Y628" s="194"/>
    </row>
    <row r="629" spans="1:25" ht="21.95" customHeight="1" x14ac:dyDescent="0.2">
      <c r="A629" s="301"/>
      <c r="B629" s="302"/>
      <c r="C629" s="301"/>
      <c r="D629" s="301"/>
      <c r="E629" s="301"/>
      <c r="F629" s="301"/>
      <c r="G629" s="301"/>
      <c r="H629" s="267"/>
      <c r="I629" s="678"/>
      <c r="J629" s="678"/>
      <c r="K629" s="678"/>
      <c r="L629" s="678"/>
      <c r="M629" s="678"/>
      <c r="N629" s="678"/>
      <c r="O629" s="678"/>
      <c r="P629" s="678"/>
      <c r="Q629" s="678"/>
      <c r="R629" s="678"/>
      <c r="S629" s="678"/>
      <c r="T629" s="678"/>
      <c r="U629" s="678"/>
      <c r="V629" s="678"/>
      <c r="W629" s="678"/>
      <c r="X629" s="153"/>
      <c r="Y629" s="194"/>
    </row>
    <row r="630" spans="1:25" ht="21.95" customHeight="1" x14ac:dyDescent="0.2">
      <c r="A630" s="301"/>
      <c r="B630" s="302"/>
      <c r="C630" s="301"/>
      <c r="D630" s="301"/>
      <c r="E630" s="301"/>
      <c r="F630" s="301"/>
      <c r="G630" s="301"/>
      <c r="H630" s="266" t="str">
        <f>IF($B$521=4,"Y","")</f>
        <v/>
      </c>
      <c r="I630" s="716" t="s">
        <v>3711</v>
      </c>
      <c r="J630" s="717"/>
      <c r="K630" s="717"/>
      <c r="L630" s="717"/>
      <c r="M630" s="717"/>
      <c r="N630" s="717"/>
      <c r="O630" s="717"/>
      <c r="P630" s="717"/>
      <c r="Q630" s="717"/>
      <c r="R630" s="717"/>
      <c r="S630" s="717"/>
      <c r="T630" s="717"/>
      <c r="U630" s="717"/>
      <c r="V630" s="717"/>
      <c r="W630" s="718"/>
      <c r="X630" s="153"/>
      <c r="Y630" s="194"/>
    </row>
    <row r="631" spans="1:25" ht="21.95" customHeight="1" x14ac:dyDescent="0.2">
      <c r="A631" s="301"/>
      <c r="B631" s="302"/>
      <c r="C631" s="301"/>
      <c r="D631" s="301"/>
      <c r="E631" s="301"/>
      <c r="F631" s="301"/>
      <c r="G631" s="301"/>
      <c r="H631" s="267"/>
      <c r="I631" s="719"/>
      <c r="J631" s="720"/>
      <c r="K631" s="720"/>
      <c r="L631" s="720"/>
      <c r="M631" s="720"/>
      <c r="N631" s="720"/>
      <c r="O631" s="720"/>
      <c r="P631" s="720"/>
      <c r="Q631" s="720"/>
      <c r="R631" s="720"/>
      <c r="S631" s="720"/>
      <c r="T631" s="720"/>
      <c r="U631" s="720"/>
      <c r="V631" s="720"/>
      <c r="W631" s="721"/>
      <c r="X631" s="153"/>
      <c r="Y631" s="194"/>
    </row>
    <row r="632" spans="1:25" ht="21.95" customHeight="1" x14ac:dyDescent="0.2">
      <c r="A632" s="301"/>
      <c r="B632" s="302"/>
      <c r="C632" s="301"/>
      <c r="D632" s="301"/>
      <c r="E632" s="301"/>
      <c r="F632" s="301"/>
      <c r="G632" s="301"/>
      <c r="H632" s="267"/>
      <c r="I632" s="554" t="s">
        <v>3712</v>
      </c>
      <c r="J632" s="555"/>
      <c r="K632" s="555"/>
      <c r="L632" s="555"/>
      <c r="M632" s="555"/>
      <c r="N632" s="555"/>
      <c r="O632" s="555"/>
      <c r="P632" s="555"/>
      <c r="Q632" s="555"/>
      <c r="R632" s="555"/>
      <c r="S632" s="555"/>
      <c r="T632" s="555"/>
      <c r="U632" s="555"/>
      <c r="V632" s="555"/>
      <c r="W632" s="556"/>
      <c r="X632" s="153"/>
      <c r="Y632" s="194"/>
    </row>
    <row r="633" spans="1:25" ht="21.95" customHeight="1" x14ac:dyDescent="0.2">
      <c r="A633" s="301"/>
      <c r="B633" s="302"/>
      <c r="C633" s="301"/>
      <c r="D633" s="301"/>
      <c r="E633" s="301"/>
      <c r="F633" s="301"/>
      <c r="G633" s="301"/>
      <c r="H633" s="267"/>
      <c r="I633" s="560"/>
      <c r="J633" s="561"/>
      <c r="K633" s="561"/>
      <c r="L633" s="561"/>
      <c r="M633" s="561"/>
      <c r="N633" s="561"/>
      <c r="O633" s="561"/>
      <c r="P633" s="561"/>
      <c r="Q633" s="561"/>
      <c r="R633" s="561"/>
      <c r="S633" s="561"/>
      <c r="T633" s="561"/>
      <c r="U633" s="561"/>
      <c r="V633" s="561"/>
      <c r="W633" s="562"/>
      <c r="X633" s="153"/>
      <c r="Y633" s="194"/>
    </row>
    <row r="634" spans="1:25" ht="21.95" customHeight="1" x14ac:dyDescent="0.2">
      <c r="A634" s="301"/>
      <c r="B634" s="302"/>
      <c r="C634" s="301"/>
      <c r="D634" s="301"/>
      <c r="E634" s="301"/>
      <c r="F634" s="301"/>
      <c r="G634" s="301"/>
      <c r="H634" s="266" t="str">
        <f>IF($B$521=5,"Y","")</f>
        <v/>
      </c>
      <c r="I634" s="473" t="s">
        <v>3330</v>
      </c>
      <c r="J634" s="474"/>
      <c r="K634" s="474"/>
      <c r="L634" s="474"/>
      <c r="M634" s="474"/>
      <c r="N634" s="474"/>
      <c r="O634" s="474"/>
      <c r="P634" s="474"/>
      <c r="Q634" s="474"/>
      <c r="R634" s="474"/>
      <c r="S634" s="474"/>
      <c r="T634" s="474"/>
      <c r="U634" s="474"/>
      <c r="V634" s="474"/>
      <c r="W634" s="474"/>
      <c r="X634" s="153"/>
      <c r="Y634" s="194"/>
    </row>
    <row r="635" spans="1:25" ht="21.95" customHeight="1" x14ac:dyDescent="0.2">
      <c r="A635" s="301"/>
      <c r="B635" s="302"/>
      <c r="C635" s="301"/>
      <c r="D635" s="301"/>
      <c r="E635" s="301"/>
      <c r="F635" s="301"/>
      <c r="G635" s="301"/>
      <c r="H635" s="215"/>
      <c r="I635" s="194"/>
      <c r="J635" s="153"/>
      <c r="K635" s="194"/>
      <c r="L635" s="153"/>
      <c r="M635" s="194"/>
      <c r="N635" s="153"/>
      <c r="O635" s="194"/>
      <c r="P635" s="153"/>
      <c r="Q635" s="194"/>
      <c r="R635" s="153"/>
      <c r="S635" s="194"/>
      <c r="T635" s="153"/>
      <c r="U635" s="194"/>
      <c r="V635" s="153"/>
      <c r="W635" s="194"/>
      <c r="X635" s="153"/>
      <c r="Y635" s="194"/>
    </row>
    <row r="636" spans="1:25" ht="21.95" customHeight="1" thickBot="1" x14ac:dyDescent="0.25">
      <c r="A636" s="301"/>
      <c r="B636" s="302"/>
      <c r="C636" s="301"/>
      <c r="D636" s="301"/>
      <c r="E636" s="301"/>
      <c r="F636" s="301"/>
      <c r="G636" s="301"/>
      <c r="H636" s="215"/>
      <c r="I636" s="216" t="s">
        <v>3688</v>
      </c>
      <c r="J636" s="217"/>
      <c r="K636" s="223"/>
      <c r="L636" s="217"/>
      <c r="M636" s="223"/>
      <c r="N636" s="217"/>
      <c r="O636" s="223"/>
      <c r="P636" s="217"/>
      <c r="Q636" s="255"/>
      <c r="R636" s="217"/>
      <c r="S636" s="223"/>
      <c r="T636" s="217"/>
      <c r="U636" s="223"/>
      <c r="V636" s="217"/>
      <c r="W636" s="223"/>
      <c r="X636" s="153"/>
      <c r="Y636" s="194"/>
    </row>
    <row r="637" spans="1:25" ht="21.95" customHeight="1" thickTop="1" x14ac:dyDescent="0.2">
      <c r="A637" s="301"/>
      <c r="B637" s="302"/>
      <c r="C637" s="301"/>
      <c r="D637" s="301"/>
      <c r="E637" s="301"/>
      <c r="F637" s="301"/>
      <c r="G637" s="301"/>
      <c r="H637" s="215"/>
      <c r="I637" s="194"/>
      <c r="J637" s="153"/>
      <c r="K637" s="194"/>
      <c r="L637" s="153"/>
      <c r="M637" s="194"/>
      <c r="N637" s="153"/>
      <c r="O637" s="194"/>
      <c r="P637" s="153"/>
      <c r="Q637" s="194"/>
      <c r="R637" s="153"/>
      <c r="S637" s="194"/>
      <c r="T637" s="153"/>
      <c r="U637" s="194"/>
      <c r="V637" s="153"/>
      <c r="W637" s="194"/>
      <c r="X637" s="153"/>
      <c r="Y637" s="194"/>
    </row>
    <row r="638" spans="1:25" ht="21.95" customHeight="1" x14ac:dyDescent="0.2">
      <c r="A638" s="301"/>
      <c r="B638" s="302"/>
      <c r="C638" s="301"/>
      <c r="D638" s="301"/>
      <c r="E638" s="301"/>
      <c r="F638" s="301"/>
      <c r="G638" s="301"/>
      <c r="H638" s="152"/>
      <c r="I638" s="681" t="s">
        <v>3480</v>
      </c>
      <c r="J638" s="682"/>
      <c r="K638" s="682"/>
      <c r="L638" s="682"/>
      <c r="M638" s="682"/>
      <c r="N638" s="682"/>
      <c r="O638" s="682"/>
      <c r="P638" s="682"/>
      <c r="Q638" s="682"/>
      <c r="R638" s="682"/>
      <c r="S638" s="682"/>
      <c r="T638" s="682"/>
      <c r="U638" s="682"/>
      <c r="V638" s="682"/>
      <c r="W638" s="682"/>
      <c r="X638" s="173">
        <f ca="1">G523</f>
        <v>1</v>
      </c>
      <c r="Y638" s="194"/>
    </row>
    <row r="639" spans="1:25" ht="21.95" customHeight="1" x14ac:dyDescent="0.2">
      <c r="A639" s="301"/>
      <c r="B639" s="302"/>
      <c r="C639" s="301"/>
      <c r="D639" s="301"/>
      <c r="E639" s="301"/>
      <c r="F639" s="301"/>
      <c r="G639" s="301"/>
      <c r="H639" s="266" t="str">
        <f>IF($B$523=1,"Y","")</f>
        <v/>
      </c>
      <c r="I639" s="473" t="s">
        <v>3331</v>
      </c>
      <c r="J639" s="474"/>
      <c r="K639" s="474"/>
      <c r="L639" s="474"/>
      <c r="M639" s="474"/>
      <c r="N639" s="474"/>
      <c r="O639" s="474"/>
      <c r="P639" s="474"/>
      <c r="Q639" s="474"/>
      <c r="R639" s="474"/>
      <c r="S639" s="474"/>
      <c r="T639" s="474"/>
      <c r="U639" s="474"/>
      <c r="V639" s="474"/>
      <c r="W639" s="474"/>
      <c r="X639" s="153"/>
      <c r="Y639" s="194"/>
    </row>
    <row r="640" spans="1:25" ht="21.95" customHeight="1" x14ac:dyDescent="0.2">
      <c r="A640" s="301"/>
      <c r="B640" s="302"/>
      <c r="C640" s="301"/>
      <c r="D640" s="301"/>
      <c r="E640" s="301"/>
      <c r="F640" s="301"/>
      <c r="G640" s="301"/>
      <c r="H640" s="267"/>
      <c r="I640" s="677" t="s">
        <v>3689</v>
      </c>
      <c r="J640" s="678"/>
      <c r="K640" s="678"/>
      <c r="L640" s="678"/>
      <c r="M640" s="678"/>
      <c r="N640" s="678"/>
      <c r="O640" s="678"/>
      <c r="P640" s="678"/>
      <c r="Q640" s="678"/>
      <c r="R640" s="678"/>
      <c r="S640" s="678"/>
      <c r="T640" s="678"/>
      <c r="U640" s="678"/>
      <c r="V640" s="678"/>
      <c r="W640" s="678"/>
      <c r="X640" s="153"/>
      <c r="Y640" s="194"/>
    </row>
    <row r="641" spans="1:25" ht="21.95" customHeight="1" x14ac:dyDescent="0.2">
      <c r="A641" s="301"/>
      <c r="B641" s="302"/>
      <c r="C641" s="301"/>
      <c r="D641" s="301"/>
      <c r="E641" s="301"/>
      <c r="F641" s="301"/>
      <c r="G641" s="301"/>
      <c r="H641" s="267"/>
      <c r="I641" s="678"/>
      <c r="J641" s="678"/>
      <c r="K641" s="678"/>
      <c r="L641" s="678"/>
      <c r="M641" s="678"/>
      <c r="N641" s="678"/>
      <c r="O641" s="678"/>
      <c r="P641" s="678"/>
      <c r="Q641" s="678"/>
      <c r="R641" s="678"/>
      <c r="S641" s="678"/>
      <c r="T641" s="678"/>
      <c r="U641" s="678"/>
      <c r="V641" s="678"/>
      <c r="W641" s="678"/>
      <c r="X641" s="153"/>
      <c r="Y641" s="194"/>
    </row>
    <row r="642" spans="1:25" ht="21.95" customHeight="1" x14ac:dyDescent="0.2">
      <c r="A642" s="301"/>
      <c r="B642" s="302"/>
      <c r="C642" s="301"/>
      <c r="D642" s="301"/>
      <c r="E642" s="301"/>
      <c r="F642" s="301"/>
      <c r="G642" s="301"/>
      <c r="H642" s="266" t="str">
        <f>IF($B$523=2,"Y","")</f>
        <v/>
      </c>
      <c r="I642" s="473" t="s">
        <v>3588</v>
      </c>
      <c r="J642" s="474"/>
      <c r="K642" s="474"/>
      <c r="L642" s="474"/>
      <c r="M642" s="474"/>
      <c r="N642" s="474"/>
      <c r="O642" s="474"/>
      <c r="P642" s="474"/>
      <c r="Q642" s="474"/>
      <c r="R642" s="474"/>
      <c r="S642" s="474"/>
      <c r="T642" s="474"/>
      <c r="U642" s="474"/>
      <c r="V642" s="474"/>
      <c r="W642" s="474"/>
      <c r="X642" s="153"/>
      <c r="Y642" s="194"/>
    </row>
    <row r="643" spans="1:25" ht="21.95" customHeight="1" x14ac:dyDescent="0.2">
      <c r="A643" s="301"/>
      <c r="B643" s="302"/>
      <c r="C643" s="301"/>
      <c r="D643" s="301"/>
      <c r="E643" s="301"/>
      <c r="F643" s="301"/>
      <c r="G643" s="301"/>
      <c r="H643" s="267"/>
      <c r="I643" s="677" t="s">
        <v>3689</v>
      </c>
      <c r="J643" s="678"/>
      <c r="K643" s="678"/>
      <c r="L643" s="678"/>
      <c r="M643" s="678"/>
      <c r="N643" s="678"/>
      <c r="O643" s="678"/>
      <c r="P643" s="678"/>
      <c r="Q643" s="678"/>
      <c r="R643" s="678"/>
      <c r="S643" s="678"/>
      <c r="T643" s="678"/>
      <c r="U643" s="678"/>
      <c r="V643" s="678"/>
      <c r="W643" s="678"/>
      <c r="X643" s="153"/>
      <c r="Y643" s="194"/>
    </row>
    <row r="644" spans="1:25" ht="21.95" customHeight="1" x14ac:dyDescent="0.2">
      <c r="A644" s="301"/>
      <c r="B644" s="302"/>
      <c r="C644" s="301"/>
      <c r="D644" s="301"/>
      <c r="E644" s="301"/>
      <c r="F644" s="301"/>
      <c r="G644" s="301"/>
      <c r="H644" s="267"/>
      <c r="I644" s="678"/>
      <c r="J644" s="678"/>
      <c r="K644" s="678"/>
      <c r="L644" s="678"/>
      <c r="M644" s="678"/>
      <c r="N644" s="678"/>
      <c r="O644" s="678"/>
      <c r="P644" s="678"/>
      <c r="Q644" s="678"/>
      <c r="R644" s="678"/>
      <c r="S644" s="678"/>
      <c r="T644" s="678"/>
      <c r="U644" s="678"/>
      <c r="V644" s="678"/>
      <c r="W644" s="678"/>
      <c r="X644" s="153"/>
      <c r="Y644" s="194"/>
    </row>
    <row r="645" spans="1:25" ht="21.95" customHeight="1" x14ac:dyDescent="0.2">
      <c r="A645" s="301"/>
      <c r="B645" s="302"/>
      <c r="C645" s="301"/>
      <c r="D645" s="301"/>
      <c r="E645" s="301"/>
      <c r="F645" s="301"/>
      <c r="G645" s="301"/>
      <c r="H645" s="266" t="str">
        <f>IF($B$523=3,"Y","")</f>
        <v/>
      </c>
      <c r="I645" s="473" t="s">
        <v>3589</v>
      </c>
      <c r="J645" s="474"/>
      <c r="K645" s="474"/>
      <c r="L645" s="474"/>
      <c r="M645" s="474"/>
      <c r="N645" s="474"/>
      <c r="O645" s="474"/>
      <c r="P645" s="474"/>
      <c r="Q645" s="474"/>
      <c r="R645" s="474"/>
      <c r="S645" s="474"/>
      <c r="T645" s="474"/>
      <c r="U645" s="474"/>
      <c r="V645" s="474"/>
      <c r="W645" s="474"/>
      <c r="X645" s="153"/>
      <c r="Y645" s="194"/>
    </row>
    <row r="646" spans="1:25" ht="21.95" customHeight="1" x14ac:dyDescent="0.2">
      <c r="A646" s="301"/>
      <c r="B646" s="302"/>
      <c r="C646" s="301"/>
      <c r="D646" s="301"/>
      <c r="E646" s="301"/>
      <c r="F646" s="301"/>
      <c r="G646" s="301"/>
      <c r="H646" s="267"/>
      <c r="I646" s="677" t="s">
        <v>3689</v>
      </c>
      <c r="J646" s="678"/>
      <c r="K646" s="678"/>
      <c r="L646" s="678"/>
      <c r="M646" s="678"/>
      <c r="N646" s="678"/>
      <c r="O646" s="678"/>
      <c r="P646" s="678"/>
      <c r="Q646" s="678"/>
      <c r="R646" s="678"/>
      <c r="S646" s="678"/>
      <c r="T646" s="678"/>
      <c r="U646" s="678"/>
      <c r="V646" s="678"/>
      <c r="W646" s="678"/>
      <c r="X646" s="153"/>
      <c r="Y646" s="194"/>
    </row>
    <row r="647" spans="1:25" ht="21.95" customHeight="1" x14ac:dyDescent="0.2">
      <c r="A647" s="301"/>
      <c r="B647" s="302"/>
      <c r="C647" s="301"/>
      <c r="D647" s="301"/>
      <c r="E647" s="301"/>
      <c r="F647" s="301"/>
      <c r="G647" s="301"/>
      <c r="H647" s="267"/>
      <c r="I647" s="678"/>
      <c r="J647" s="678"/>
      <c r="K647" s="678"/>
      <c r="L647" s="678"/>
      <c r="M647" s="678"/>
      <c r="N647" s="678"/>
      <c r="O647" s="678"/>
      <c r="P647" s="678"/>
      <c r="Q647" s="678"/>
      <c r="R647" s="678"/>
      <c r="S647" s="678"/>
      <c r="T647" s="678"/>
      <c r="U647" s="678"/>
      <c r="V647" s="678"/>
      <c r="W647" s="678"/>
      <c r="X647" s="153"/>
      <c r="Y647" s="194"/>
    </row>
    <row r="648" spans="1:25" ht="21.95" customHeight="1" x14ac:dyDescent="0.2">
      <c r="A648" s="301"/>
      <c r="B648" s="302"/>
      <c r="C648" s="301"/>
      <c r="D648" s="301"/>
      <c r="E648" s="301"/>
      <c r="F648" s="301"/>
      <c r="G648" s="301"/>
      <c r="H648" s="266" t="str">
        <f>IF($B$523=4,"Y","")</f>
        <v/>
      </c>
      <c r="I648" s="473" t="s">
        <v>3330</v>
      </c>
      <c r="J648" s="474"/>
      <c r="K648" s="474"/>
      <c r="L648" s="474"/>
      <c r="M648" s="474"/>
      <c r="N648" s="474"/>
      <c r="O648" s="474"/>
      <c r="P648" s="474"/>
      <c r="Q648" s="474"/>
      <c r="R648" s="474"/>
      <c r="S648" s="474"/>
      <c r="T648" s="474"/>
      <c r="U648" s="474"/>
      <c r="V648" s="474"/>
      <c r="W648" s="474"/>
      <c r="X648" s="153"/>
      <c r="Y648" s="194"/>
    </row>
    <row r="649" spans="1:25" ht="21.95" customHeight="1" x14ac:dyDescent="0.2">
      <c r="A649" s="301"/>
      <c r="B649" s="302"/>
      <c r="C649" s="301"/>
      <c r="D649" s="301"/>
      <c r="E649" s="301"/>
      <c r="F649" s="301"/>
      <c r="G649" s="301"/>
      <c r="H649" s="215"/>
      <c r="I649" s="194"/>
      <c r="J649" s="153"/>
      <c r="K649" s="194"/>
      <c r="L649" s="153"/>
      <c r="M649" s="194"/>
      <c r="N649" s="153"/>
      <c r="O649" s="194"/>
      <c r="P649" s="153"/>
      <c r="Q649" s="194"/>
      <c r="R649" s="153"/>
      <c r="S649" s="194"/>
      <c r="T649" s="153"/>
      <c r="U649" s="194"/>
      <c r="V649" s="153"/>
      <c r="W649" s="194"/>
      <c r="X649" s="153"/>
      <c r="Y649" s="194"/>
    </row>
    <row r="650" spans="1:25" ht="21.95" customHeight="1" thickBot="1" x14ac:dyDescent="0.25">
      <c r="A650" s="301"/>
      <c r="B650" s="302"/>
      <c r="C650" s="301"/>
      <c r="D650" s="301"/>
      <c r="E650" s="301"/>
      <c r="F650" s="301"/>
      <c r="G650" s="301"/>
      <c r="H650" s="215"/>
      <c r="I650" s="216" t="s">
        <v>3332</v>
      </c>
      <c r="J650" s="217"/>
      <c r="K650" s="223"/>
      <c r="L650" s="217"/>
      <c r="M650" s="223"/>
      <c r="N650" s="217"/>
      <c r="O650" s="223"/>
      <c r="P650" s="217"/>
      <c r="Q650" s="255"/>
      <c r="R650" s="217"/>
      <c r="S650" s="223"/>
      <c r="T650" s="217"/>
      <c r="U650" s="223"/>
      <c r="V650" s="217"/>
      <c r="W650" s="223"/>
      <c r="X650" s="153"/>
      <c r="Y650" s="194"/>
    </row>
    <row r="651" spans="1:25" ht="21.95" customHeight="1" thickTop="1" x14ac:dyDescent="0.2">
      <c r="A651" s="301"/>
      <c r="B651" s="302"/>
      <c r="C651" s="301"/>
      <c r="D651" s="301"/>
      <c r="E651" s="301"/>
      <c r="F651" s="301"/>
      <c r="G651" s="301"/>
      <c r="H651" s="215"/>
      <c r="I651" s="194"/>
      <c r="J651" s="153"/>
      <c r="K651" s="194"/>
      <c r="L651" s="153"/>
      <c r="M651" s="194"/>
      <c r="N651" s="153"/>
      <c r="O651" s="194"/>
      <c r="P651" s="153"/>
      <c r="Q651" s="194"/>
      <c r="R651" s="153"/>
      <c r="S651" s="194"/>
      <c r="T651" s="153"/>
      <c r="U651" s="194"/>
      <c r="V651" s="153"/>
      <c r="W651" s="194"/>
      <c r="X651" s="153"/>
      <c r="Y651" s="194"/>
    </row>
    <row r="652" spans="1:25" ht="21.95" customHeight="1" x14ac:dyDescent="0.2">
      <c r="A652" s="301"/>
      <c r="B652" s="302"/>
      <c r="C652" s="301"/>
      <c r="D652" s="301"/>
      <c r="E652" s="301"/>
      <c r="F652" s="301"/>
      <c r="G652" s="301"/>
      <c r="H652" s="215"/>
      <c r="I652" s="675" t="s">
        <v>3597</v>
      </c>
      <c r="J652" s="676"/>
      <c r="K652" s="676"/>
      <c r="L652" s="676"/>
      <c r="M652" s="676"/>
      <c r="N652" s="676"/>
      <c r="O652" s="676"/>
      <c r="P652" s="676"/>
      <c r="Q652" s="676"/>
      <c r="R652" s="676"/>
      <c r="S652" s="676"/>
      <c r="T652" s="676"/>
      <c r="U652" s="676"/>
      <c r="V652" s="153"/>
      <c r="W652" s="230"/>
      <c r="X652" s="165">
        <f ca="1">G524</f>
        <v>1</v>
      </c>
      <c r="Y652" s="194"/>
    </row>
    <row r="653" spans="1:25" ht="21.95" customHeight="1" x14ac:dyDescent="0.2">
      <c r="A653" s="301"/>
      <c r="B653" s="302"/>
      <c r="C653" s="301"/>
      <c r="D653" s="301"/>
      <c r="E653" s="301"/>
      <c r="F653" s="301"/>
      <c r="G653" s="301"/>
      <c r="H653" s="215"/>
      <c r="I653" s="509" t="s">
        <v>3690</v>
      </c>
      <c r="J653" s="509"/>
      <c r="K653" s="509"/>
      <c r="L653" s="509"/>
      <c r="M653" s="509"/>
      <c r="N653" s="509"/>
      <c r="O653" s="509"/>
      <c r="P653" s="509"/>
      <c r="Q653" s="509"/>
      <c r="R653" s="509"/>
      <c r="S653" s="509"/>
      <c r="T653" s="509"/>
      <c r="U653" s="509"/>
      <c r="V653" s="509"/>
      <c r="W653" s="509"/>
      <c r="X653" s="153"/>
      <c r="Y653" s="194"/>
    </row>
    <row r="654" spans="1:25" ht="21.95" customHeight="1" x14ac:dyDescent="0.2">
      <c r="A654" s="301"/>
      <c r="B654" s="302"/>
      <c r="C654" s="301"/>
      <c r="D654" s="301"/>
      <c r="E654" s="301"/>
      <c r="F654" s="301"/>
      <c r="G654" s="301"/>
      <c r="H654" s="215"/>
      <c r="I654" s="509"/>
      <c r="J654" s="509"/>
      <c r="K654" s="509"/>
      <c r="L654" s="509"/>
      <c r="M654" s="509"/>
      <c r="N654" s="509"/>
      <c r="O654" s="509"/>
      <c r="P654" s="509"/>
      <c r="Q654" s="509"/>
      <c r="R654" s="509"/>
      <c r="S654" s="509"/>
      <c r="T654" s="509"/>
      <c r="U654" s="509"/>
      <c r="V654" s="509"/>
      <c r="W654" s="509"/>
      <c r="X654" s="153"/>
      <c r="Y654" s="194"/>
    </row>
    <row r="655" spans="1:25" ht="21.95" customHeight="1" x14ac:dyDescent="0.2">
      <c r="A655" s="301"/>
      <c r="B655" s="302"/>
      <c r="C655" s="301"/>
      <c r="D655" s="301"/>
      <c r="E655" s="301"/>
      <c r="F655" s="301"/>
      <c r="G655" s="301"/>
      <c r="H655" s="215"/>
      <c r="I655" s="509"/>
      <c r="J655" s="509"/>
      <c r="K655" s="509"/>
      <c r="L655" s="509"/>
      <c r="M655" s="509"/>
      <c r="N655" s="509"/>
      <c r="O655" s="509"/>
      <c r="P655" s="509"/>
      <c r="Q655" s="509"/>
      <c r="R655" s="509"/>
      <c r="S655" s="509"/>
      <c r="T655" s="509"/>
      <c r="U655" s="509"/>
      <c r="V655" s="509"/>
      <c r="W655" s="509"/>
      <c r="X655" s="153"/>
      <c r="Y655" s="194"/>
    </row>
    <row r="656" spans="1:25" ht="21.95" customHeight="1" x14ac:dyDescent="0.2">
      <c r="A656" s="301"/>
      <c r="B656" s="302"/>
      <c r="C656" s="301"/>
      <c r="D656" s="301"/>
      <c r="E656" s="301"/>
      <c r="F656" s="301"/>
      <c r="G656" s="301"/>
      <c r="H656" s="215"/>
      <c r="I656" s="509"/>
      <c r="J656" s="509"/>
      <c r="K656" s="509"/>
      <c r="L656" s="509"/>
      <c r="M656" s="509"/>
      <c r="N656" s="509"/>
      <c r="O656" s="509"/>
      <c r="P656" s="509"/>
      <c r="Q656" s="509"/>
      <c r="R656" s="509"/>
      <c r="S656" s="509"/>
      <c r="T656" s="509"/>
      <c r="U656" s="509"/>
      <c r="V656" s="509"/>
      <c r="W656" s="509"/>
      <c r="X656" s="153"/>
      <c r="Y656" s="194"/>
    </row>
    <row r="657" spans="1:25" ht="21.95" customHeight="1" x14ac:dyDescent="0.2">
      <c r="A657" s="301"/>
      <c r="B657" s="302"/>
      <c r="C657" s="301"/>
      <c r="D657" s="301"/>
      <c r="E657" s="301"/>
      <c r="F657" s="301"/>
      <c r="G657" s="301"/>
      <c r="H657" s="215"/>
      <c r="I657" s="509"/>
      <c r="J657" s="509"/>
      <c r="K657" s="509"/>
      <c r="L657" s="509"/>
      <c r="M657" s="509"/>
      <c r="N657" s="509"/>
      <c r="O657" s="509"/>
      <c r="P657" s="509"/>
      <c r="Q657" s="509"/>
      <c r="R657" s="509"/>
      <c r="S657" s="509"/>
      <c r="T657" s="509"/>
      <c r="U657" s="509"/>
      <c r="V657" s="509"/>
      <c r="W657" s="509"/>
      <c r="X657" s="153"/>
      <c r="Y657" s="194"/>
    </row>
    <row r="658" spans="1:25" ht="21.95" customHeight="1" x14ac:dyDescent="0.2">
      <c r="B658" s="302"/>
      <c r="C658" s="301"/>
      <c r="D658" s="301"/>
      <c r="E658" s="301"/>
      <c r="F658" s="301"/>
      <c r="G658" s="301"/>
      <c r="H658" s="215"/>
      <c r="I658" s="509"/>
      <c r="J658" s="509"/>
      <c r="K658" s="509"/>
      <c r="L658" s="509"/>
      <c r="M658" s="509"/>
      <c r="N658" s="509"/>
      <c r="O658" s="509"/>
      <c r="P658" s="509"/>
      <c r="Q658" s="509"/>
      <c r="R658" s="509"/>
      <c r="S658" s="509"/>
      <c r="T658" s="509"/>
      <c r="U658" s="509"/>
      <c r="V658" s="509"/>
      <c r="W658" s="509"/>
      <c r="X658" s="153"/>
      <c r="Y658" s="194"/>
    </row>
    <row r="659" spans="1:25" ht="21.95" customHeight="1" x14ac:dyDescent="0.2">
      <c r="A659" s="301"/>
      <c r="B659" s="302"/>
      <c r="C659" s="301"/>
      <c r="D659" s="301"/>
      <c r="E659" s="301"/>
      <c r="F659" s="301"/>
      <c r="G659" s="301"/>
      <c r="H659" s="215"/>
      <c r="I659" s="509"/>
      <c r="J659" s="509"/>
      <c r="K659" s="509"/>
      <c r="L659" s="509"/>
      <c r="M659" s="509"/>
      <c r="N659" s="509"/>
      <c r="O659" s="509"/>
      <c r="P659" s="509"/>
      <c r="Q659" s="509"/>
      <c r="R659" s="509"/>
      <c r="S659" s="509"/>
      <c r="T659" s="509"/>
      <c r="U659" s="509"/>
      <c r="V659" s="509"/>
      <c r="W659" s="509"/>
      <c r="X659" s="153"/>
      <c r="Y659" s="194"/>
    </row>
    <row r="660" spans="1:25" ht="21.95" customHeight="1" x14ac:dyDescent="0.2">
      <c r="A660" s="301"/>
      <c r="B660" s="302"/>
      <c r="C660" s="301"/>
      <c r="D660" s="301"/>
      <c r="E660" s="301"/>
      <c r="F660" s="301"/>
      <c r="G660" s="301"/>
      <c r="H660" s="215"/>
      <c r="I660" s="509"/>
      <c r="J660" s="509"/>
      <c r="K660" s="509"/>
      <c r="L660" s="509"/>
      <c r="M660" s="509"/>
      <c r="N660" s="509"/>
      <c r="O660" s="509"/>
      <c r="P660" s="509"/>
      <c r="Q660" s="509"/>
      <c r="R660" s="509"/>
      <c r="S660" s="509"/>
      <c r="T660" s="509"/>
      <c r="U660" s="509"/>
      <c r="V660" s="509"/>
      <c r="W660" s="509"/>
      <c r="X660" s="153"/>
      <c r="Y660" s="194"/>
    </row>
    <row r="661" spans="1:25" ht="21.95" customHeight="1" x14ac:dyDescent="0.2">
      <c r="A661" s="301"/>
      <c r="B661" s="302"/>
      <c r="C661" s="301"/>
      <c r="D661" s="301"/>
      <c r="E661" s="301"/>
      <c r="F661" s="301"/>
      <c r="G661" s="301"/>
      <c r="H661" s="215"/>
      <c r="I661" s="509"/>
      <c r="J661" s="509"/>
      <c r="K661" s="509"/>
      <c r="L661" s="509"/>
      <c r="M661" s="509"/>
      <c r="N661" s="509"/>
      <c r="O661" s="509"/>
      <c r="P661" s="509"/>
      <c r="Q661" s="509"/>
      <c r="R661" s="509"/>
      <c r="S661" s="509"/>
      <c r="T661" s="509"/>
      <c r="U661" s="509"/>
      <c r="V661" s="509"/>
      <c r="W661" s="509"/>
      <c r="X661" s="153"/>
      <c r="Y661" s="194"/>
    </row>
    <row r="662" spans="1:25" ht="21.95" customHeight="1" x14ac:dyDescent="0.2">
      <c r="A662" s="301"/>
      <c r="B662" s="302"/>
      <c r="C662" s="301"/>
      <c r="D662" s="301"/>
      <c r="E662" s="301"/>
      <c r="F662" s="301"/>
      <c r="G662" s="301"/>
      <c r="H662" s="215"/>
      <c r="I662" s="226" t="s">
        <v>3647</v>
      </c>
      <c r="J662" s="379"/>
      <c r="K662" s="379"/>
      <c r="L662" s="379"/>
      <c r="M662" s="379"/>
      <c r="N662" s="379"/>
      <c r="O662" s="379"/>
      <c r="P662" s="379"/>
      <c r="Q662" s="379"/>
      <c r="R662" s="379"/>
      <c r="S662" s="379"/>
      <c r="T662" s="379"/>
      <c r="U662" s="379"/>
      <c r="V662" s="379"/>
      <c r="W662" s="175" t="str">
        <f>SUBSTITUTE(SUBSTITUTE(SUBSTITUTE(IF(LEN(B525)&gt;F525,CONFIG_CHAR_LIMIT_TEMPLATE_ERR,CONFIG_CHAR_LIMIT_TEMPLATE),"[diff]",ABS(LEN(B525)-F525)),"[limit]",F525),"[used]",LEN(B525))</f>
        <v>1000 character(s) remaining</v>
      </c>
      <c r="X662" s="153"/>
      <c r="Y662" s="194"/>
    </row>
    <row r="663" spans="1:25" ht="21.95" customHeight="1" x14ac:dyDescent="0.2">
      <c r="A663" s="301"/>
      <c r="B663" s="302"/>
      <c r="C663" s="301"/>
      <c r="D663" s="301"/>
      <c r="E663" s="301"/>
      <c r="F663" s="301"/>
      <c r="G663" s="301"/>
      <c r="H663" s="215"/>
      <c r="I663" s="500"/>
      <c r="J663" s="652"/>
      <c r="K663" s="652"/>
      <c r="L663" s="652"/>
      <c r="M663" s="652"/>
      <c r="N663" s="652"/>
      <c r="O663" s="652"/>
      <c r="P663" s="652"/>
      <c r="Q663" s="652"/>
      <c r="R663" s="652"/>
      <c r="S663" s="652"/>
      <c r="T663" s="652"/>
      <c r="U663" s="652"/>
      <c r="V663" s="652"/>
      <c r="W663" s="653"/>
      <c r="X663" s="165" t="str">
        <f ca="1">G525</f>
        <v/>
      </c>
      <c r="Y663" s="194"/>
    </row>
    <row r="664" spans="1:25" ht="21.95" customHeight="1" x14ac:dyDescent="0.2">
      <c r="A664" s="301"/>
      <c r="B664" s="302"/>
      <c r="C664" s="301"/>
      <c r="D664" s="301"/>
      <c r="E664" s="301"/>
      <c r="F664" s="301"/>
      <c r="G664" s="301"/>
      <c r="H664" s="215"/>
      <c r="I664" s="654"/>
      <c r="J664" s="655"/>
      <c r="K664" s="655"/>
      <c r="L664" s="655"/>
      <c r="M664" s="655"/>
      <c r="N664" s="655"/>
      <c r="O664" s="655"/>
      <c r="P664" s="655"/>
      <c r="Q664" s="655"/>
      <c r="R664" s="655"/>
      <c r="S664" s="655"/>
      <c r="T664" s="655"/>
      <c r="U664" s="655"/>
      <c r="V664" s="655"/>
      <c r="W664" s="656"/>
      <c r="X664" s="153"/>
      <c r="Y664" s="194"/>
    </row>
    <row r="665" spans="1:25" ht="21.95" customHeight="1" x14ac:dyDescent="0.2">
      <c r="A665" s="301"/>
      <c r="B665" s="302"/>
      <c r="C665" s="301"/>
      <c r="D665" s="301"/>
      <c r="E665" s="301"/>
      <c r="F665" s="301"/>
      <c r="G665" s="301"/>
      <c r="H665" s="215"/>
      <c r="I665" s="657"/>
      <c r="J665" s="658"/>
      <c r="K665" s="658"/>
      <c r="L665" s="658"/>
      <c r="M665" s="658"/>
      <c r="N665" s="658"/>
      <c r="O665" s="658"/>
      <c r="P665" s="658"/>
      <c r="Q665" s="658"/>
      <c r="R665" s="658"/>
      <c r="S665" s="658"/>
      <c r="T665" s="658"/>
      <c r="U665" s="658"/>
      <c r="V665" s="658"/>
      <c r="W665" s="659"/>
      <c r="X665" s="153"/>
      <c r="Y665" s="194"/>
    </row>
    <row r="666" spans="1:25" ht="21.95" customHeight="1" x14ac:dyDescent="0.2">
      <c r="A666" s="301"/>
      <c r="B666" s="302"/>
      <c r="C666" s="301"/>
      <c r="D666" s="301"/>
      <c r="E666" s="301"/>
      <c r="F666" s="301"/>
      <c r="G666" s="301"/>
      <c r="H666" s="215"/>
      <c r="I666" s="194"/>
      <c r="J666" s="153"/>
      <c r="K666" s="194"/>
      <c r="L666" s="153"/>
      <c r="M666" s="194"/>
      <c r="N666" s="153"/>
      <c r="O666" s="194"/>
      <c r="P666" s="153"/>
      <c r="Q666" s="194"/>
      <c r="R666" s="153"/>
      <c r="S666" s="194"/>
      <c r="T666" s="153"/>
      <c r="U666" s="194"/>
      <c r="V666" s="153"/>
      <c r="W666" s="194"/>
      <c r="X666" s="153"/>
      <c r="Y666" s="194"/>
    </row>
    <row r="667" spans="1:25" ht="21.95" customHeight="1" x14ac:dyDescent="0.2">
      <c r="A667" s="301"/>
      <c r="B667" s="302"/>
      <c r="C667" s="301"/>
      <c r="D667" s="301"/>
      <c r="E667" s="301"/>
      <c r="F667" s="301"/>
      <c r="G667" s="301"/>
      <c r="H667" s="215"/>
      <c r="I667" s="675" t="s">
        <v>3598</v>
      </c>
      <c r="J667" s="676"/>
      <c r="K667" s="676"/>
      <c r="L667" s="676"/>
      <c r="M667" s="676"/>
      <c r="N667" s="676"/>
      <c r="O667" s="676"/>
      <c r="P667" s="676"/>
      <c r="Q667" s="676"/>
      <c r="R667" s="676"/>
      <c r="S667" s="676"/>
      <c r="T667" s="676"/>
      <c r="U667" s="676"/>
      <c r="V667" s="153"/>
      <c r="W667" s="230"/>
      <c r="X667" s="165">
        <f ca="1">G526</f>
        <v>1</v>
      </c>
      <c r="Y667" s="194"/>
    </row>
    <row r="668" spans="1:25" ht="21.95" customHeight="1" x14ac:dyDescent="0.2">
      <c r="A668" s="301"/>
      <c r="B668" s="302"/>
      <c r="C668" s="301"/>
      <c r="D668" s="301"/>
      <c r="E668" s="301"/>
      <c r="F668" s="301"/>
      <c r="G668" s="301"/>
      <c r="H668" s="215"/>
      <c r="I668" s="509" t="s">
        <v>3646</v>
      </c>
      <c r="J668" s="509"/>
      <c r="K668" s="509"/>
      <c r="L668" s="509"/>
      <c r="M668" s="509"/>
      <c r="N668" s="509"/>
      <c r="O668" s="509"/>
      <c r="P668" s="509"/>
      <c r="Q668" s="509"/>
      <c r="R668" s="509"/>
      <c r="S668" s="509"/>
      <c r="T668" s="509"/>
      <c r="U668" s="509"/>
      <c r="V668" s="509"/>
      <c r="W668" s="509"/>
      <c r="X668" s="153"/>
      <c r="Y668" s="194"/>
    </row>
    <row r="669" spans="1:25" ht="21.95" customHeight="1" x14ac:dyDescent="0.2">
      <c r="A669" s="301"/>
      <c r="B669" s="302"/>
      <c r="C669" s="301"/>
      <c r="D669" s="301"/>
      <c r="E669" s="301"/>
      <c r="F669" s="301"/>
      <c r="G669" s="301"/>
      <c r="H669" s="215"/>
      <c r="I669" s="509"/>
      <c r="J669" s="509"/>
      <c r="K669" s="509"/>
      <c r="L669" s="509"/>
      <c r="M669" s="509"/>
      <c r="N669" s="509"/>
      <c r="O669" s="509"/>
      <c r="P669" s="509"/>
      <c r="Q669" s="509"/>
      <c r="R669" s="509"/>
      <c r="S669" s="509"/>
      <c r="T669" s="509"/>
      <c r="U669" s="509"/>
      <c r="V669" s="509"/>
      <c r="W669" s="509"/>
      <c r="X669" s="153"/>
      <c r="Y669" s="194"/>
    </row>
    <row r="670" spans="1:25" ht="21.95" customHeight="1" x14ac:dyDescent="0.2">
      <c r="A670" s="301"/>
      <c r="B670" s="302"/>
      <c r="C670" s="301"/>
      <c r="D670" s="301"/>
      <c r="E670" s="301"/>
      <c r="F670" s="301"/>
      <c r="G670" s="301"/>
      <c r="H670" s="215"/>
      <c r="I670" s="509"/>
      <c r="J670" s="509"/>
      <c r="K670" s="509"/>
      <c r="L670" s="509"/>
      <c r="M670" s="509"/>
      <c r="N670" s="509"/>
      <c r="O670" s="509"/>
      <c r="P670" s="509"/>
      <c r="Q670" s="509"/>
      <c r="R670" s="509"/>
      <c r="S670" s="509"/>
      <c r="T670" s="509"/>
      <c r="U670" s="509"/>
      <c r="V670" s="509"/>
      <c r="W670" s="509"/>
      <c r="X670" s="153"/>
      <c r="Y670" s="194"/>
    </row>
    <row r="671" spans="1:25" ht="21.95" customHeight="1" x14ac:dyDescent="0.2">
      <c r="A671" s="301"/>
      <c r="B671" s="302"/>
      <c r="C671" s="301"/>
      <c r="D671" s="301"/>
      <c r="E671" s="301"/>
      <c r="F671" s="301"/>
      <c r="G671" s="301"/>
      <c r="H671" s="215"/>
      <c r="I671" s="509"/>
      <c r="J671" s="509"/>
      <c r="K671" s="509"/>
      <c r="L671" s="509"/>
      <c r="M671" s="509"/>
      <c r="N671" s="509"/>
      <c r="O671" s="509"/>
      <c r="P671" s="509"/>
      <c r="Q671" s="509"/>
      <c r="R671" s="509"/>
      <c r="S671" s="509"/>
      <c r="T671" s="509"/>
      <c r="U671" s="509"/>
      <c r="V671" s="509"/>
      <c r="W671" s="509"/>
      <c r="X671" s="153"/>
      <c r="Y671" s="194"/>
    </row>
    <row r="672" spans="1:25" ht="21.95" customHeight="1" x14ac:dyDescent="0.2">
      <c r="A672" s="301"/>
      <c r="B672" s="302"/>
      <c r="C672" s="301"/>
      <c r="D672" s="301"/>
      <c r="E672" s="301"/>
      <c r="F672" s="301"/>
      <c r="G672" s="301"/>
      <c r="H672" s="215"/>
      <c r="I672" s="509"/>
      <c r="J672" s="509"/>
      <c r="K672" s="509"/>
      <c r="L672" s="509"/>
      <c r="M672" s="509"/>
      <c r="N672" s="509"/>
      <c r="O672" s="509"/>
      <c r="P672" s="509"/>
      <c r="Q672" s="509"/>
      <c r="R672" s="509"/>
      <c r="S672" s="509"/>
      <c r="T672" s="509"/>
      <c r="U672" s="509"/>
      <c r="V672" s="509"/>
      <c r="W672" s="509"/>
      <c r="X672" s="153"/>
      <c r="Y672" s="194"/>
    </row>
    <row r="673" spans="1:25" ht="21.95" customHeight="1" x14ac:dyDescent="0.2">
      <c r="A673" s="301"/>
      <c r="B673" s="302"/>
      <c r="C673" s="301"/>
      <c r="D673" s="301"/>
      <c r="E673" s="301"/>
      <c r="F673" s="301"/>
      <c r="G673" s="301"/>
      <c r="H673" s="215"/>
      <c r="I673" s="509"/>
      <c r="J673" s="509"/>
      <c r="K673" s="509"/>
      <c r="L673" s="509"/>
      <c r="M673" s="509"/>
      <c r="N673" s="509"/>
      <c r="O673" s="509"/>
      <c r="P673" s="509"/>
      <c r="Q673" s="509"/>
      <c r="R673" s="509"/>
      <c r="S673" s="509"/>
      <c r="T673" s="509"/>
      <c r="U673" s="509"/>
      <c r="V673" s="509"/>
      <c r="W673" s="509"/>
      <c r="X673" s="153"/>
      <c r="Y673" s="194"/>
    </row>
    <row r="674" spans="1:25" ht="21.95" customHeight="1" x14ac:dyDescent="0.2">
      <c r="A674" s="301"/>
      <c r="B674" s="302"/>
      <c r="C674" s="301"/>
      <c r="D674" s="301"/>
      <c r="E674" s="301"/>
      <c r="F674" s="301"/>
      <c r="G674" s="301"/>
      <c r="H674" s="215"/>
      <c r="I674" s="509"/>
      <c r="J674" s="509"/>
      <c r="K674" s="509"/>
      <c r="L674" s="509"/>
      <c r="M674" s="509"/>
      <c r="N674" s="509"/>
      <c r="O674" s="509"/>
      <c r="P674" s="509"/>
      <c r="Q674" s="509"/>
      <c r="R674" s="509"/>
      <c r="S674" s="509"/>
      <c r="T674" s="509"/>
      <c r="U674" s="509"/>
      <c r="V674" s="509"/>
      <c r="W674" s="509"/>
      <c r="X674" s="153"/>
      <c r="Y674" s="194"/>
    </row>
    <row r="675" spans="1:25" ht="21.95" customHeight="1" x14ac:dyDescent="0.2">
      <c r="A675" s="301"/>
      <c r="B675" s="302"/>
      <c r="C675" s="301"/>
      <c r="D675" s="301"/>
      <c r="E675" s="301"/>
      <c r="F675" s="301"/>
      <c r="G675" s="301"/>
      <c r="H675" s="215"/>
      <c r="I675" s="509"/>
      <c r="J675" s="509"/>
      <c r="K675" s="509"/>
      <c r="L675" s="509"/>
      <c r="M675" s="509"/>
      <c r="N675" s="509"/>
      <c r="O675" s="509"/>
      <c r="P675" s="509"/>
      <c r="Q675" s="509"/>
      <c r="R675" s="509"/>
      <c r="S675" s="509"/>
      <c r="T675" s="509"/>
      <c r="U675" s="509"/>
      <c r="V675" s="509"/>
      <c r="W675" s="509"/>
      <c r="X675" s="153"/>
      <c r="Y675" s="194"/>
    </row>
    <row r="676" spans="1:25" ht="21.95" customHeight="1" x14ac:dyDescent="0.2">
      <c r="A676" s="301"/>
      <c r="B676" s="302"/>
      <c r="C676" s="301"/>
      <c r="D676" s="301"/>
      <c r="E676" s="301"/>
      <c r="F676" s="301"/>
      <c r="G676" s="301"/>
      <c r="H676" s="215"/>
      <c r="I676" s="509"/>
      <c r="J676" s="509"/>
      <c r="K676" s="509"/>
      <c r="L676" s="509"/>
      <c r="M676" s="509"/>
      <c r="N676" s="509"/>
      <c r="O676" s="509"/>
      <c r="P676" s="509"/>
      <c r="Q676" s="509"/>
      <c r="R676" s="509"/>
      <c r="S676" s="509"/>
      <c r="T676" s="509"/>
      <c r="U676" s="509"/>
      <c r="V676" s="509"/>
      <c r="W676" s="509"/>
      <c r="X676" s="153"/>
      <c r="Y676" s="194"/>
    </row>
    <row r="677" spans="1:25" ht="21.95" customHeight="1" x14ac:dyDescent="0.2">
      <c r="A677" s="301"/>
      <c r="B677" s="302"/>
      <c r="C677" s="301"/>
      <c r="D677" s="301"/>
      <c r="E677" s="301"/>
      <c r="F677" s="301"/>
      <c r="G677" s="301"/>
      <c r="H677" s="215"/>
      <c r="I677" s="509"/>
      <c r="J677" s="509"/>
      <c r="K677" s="509"/>
      <c r="L677" s="509"/>
      <c r="M677" s="509"/>
      <c r="N677" s="509"/>
      <c r="O677" s="509"/>
      <c r="P677" s="509"/>
      <c r="Q677" s="509"/>
      <c r="R677" s="509"/>
      <c r="S677" s="509"/>
      <c r="T677" s="509"/>
      <c r="U677" s="509"/>
      <c r="V677" s="509"/>
      <c r="W677" s="509"/>
      <c r="X677" s="153"/>
      <c r="Y677" s="194"/>
    </row>
    <row r="678" spans="1:25" ht="21.95" customHeight="1" x14ac:dyDescent="0.2">
      <c r="A678" s="301"/>
      <c r="B678" s="302"/>
      <c r="C678" s="301"/>
      <c r="D678" s="301"/>
      <c r="E678" s="301"/>
      <c r="F678" s="301"/>
      <c r="G678" s="301"/>
      <c r="H678" s="215"/>
      <c r="I678" s="509"/>
      <c r="J678" s="509"/>
      <c r="K678" s="509"/>
      <c r="L678" s="509"/>
      <c r="M678" s="509"/>
      <c r="N678" s="509"/>
      <c r="O678" s="509"/>
      <c r="P678" s="509"/>
      <c r="Q678" s="509"/>
      <c r="R678" s="509"/>
      <c r="S678" s="509"/>
      <c r="T678" s="509"/>
      <c r="U678" s="509"/>
      <c r="V678" s="509"/>
      <c r="W678" s="509"/>
      <c r="X678" s="153"/>
      <c r="Y678" s="194"/>
    </row>
    <row r="679" spans="1:25" ht="21.95" customHeight="1" x14ac:dyDescent="0.2">
      <c r="A679" s="301"/>
      <c r="B679" s="302"/>
      <c r="C679" s="301"/>
      <c r="D679" s="301"/>
      <c r="E679" s="301"/>
      <c r="F679" s="301"/>
      <c r="G679" s="301"/>
      <c r="H679" s="215"/>
      <c r="I679" s="509"/>
      <c r="J679" s="509"/>
      <c r="K679" s="509"/>
      <c r="L679" s="509"/>
      <c r="M679" s="509"/>
      <c r="N679" s="509"/>
      <c r="O679" s="509"/>
      <c r="P679" s="509"/>
      <c r="Q679" s="509"/>
      <c r="R679" s="509"/>
      <c r="S679" s="509"/>
      <c r="T679" s="509"/>
      <c r="U679" s="509"/>
      <c r="V679" s="509"/>
      <c r="W679" s="509"/>
      <c r="X679" s="153"/>
      <c r="Y679" s="194"/>
    </row>
    <row r="680" spans="1:25" ht="21.95" customHeight="1" x14ac:dyDescent="0.2">
      <c r="A680" s="301"/>
      <c r="B680" s="302"/>
      <c r="C680" s="301"/>
      <c r="D680" s="301"/>
      <c r="E680" s="301"/>
      <c r="F680" s="301"/>
      <c r="G680" s="301"/>
      <c r="H680" s="215"/>
      <c r="I680" s="509"/>
      <c r="J680" s="509"/>
      <c r="K680" s="509"/>
      <c r="L680" s="509"/>
      <c r="M680" s="509"/>
      <c r="N680" s="509"/>
      <c r="O680" s="509"/>
      <c r="P680" s="509"/>
      <c r="Q680" s="509"/>
      <c r="R680" s="509"/>
      <c r="S680" s="509"/>
      <c r="T680" s="509"/>
      <c r="U680" s="509"/>
      <c r="V680" s="509"/>
      <c r="W680" s="509"/>
      <c r="X680" s="153"/>
      <c r="Y680" s="194"/>
    </row>
    <row r="681" spans="1:25" ht="21.95" customHeight="1" x14ac:dyDescent="0.2">
      <c r="A681" s="301"/>
      <c r="B681" s="302"/>
      <c r="C681" s="301"/>
      <c r="D681" s="301"/>
      <c r="E681" s="301"/>
      <c r="F681" s="301"/>
      <c r="G681" s="301"/>
      <c r="H681" s="215"/>
      <c r="I681" s="226" t="s">
        <v>3648</v>
      </c>
      <c r="J681" s="379"/>
      <c r="K681" s="379"/>
      <c r="L681" s="379"/>
      <c r="M681" s="379"/>
      <c r="N681" s="379"/>
      <c r="O681" s="379"/>
      <c r="P681" s="379"/>
      <c r="Q681" s="379"/>
      <c r="R681" s="379"/>
      <c r="S681" s="379"/>
      <c r="T681" s="379"/>
      <c r="U681" s="379"/>
      <c r="V681" s="379"/>
      <c r="W681" s="175" t="str">
        <f>SUBSTITUTE(SUBSTITUTE(SUBSTITUTE(IF(LEN(B527)&gt;F527,CONFIG_CHAR_LIMIT_TEMPLATE_ERR,CONFIG_CHAR_LIMIT_TEMPLATE),"[diff]",ABS(LEN(B527)-F527)),"[limit]",F527),"[used]",LEN(B527))</f>
        <v>1000 character(s) remaining</v>
      </c>
      <c r="X681" s="153"/>
      <c r="Y681" s="194"/>
    </row>
    <row r="682" spans="1:25" ht="21.95" customHeight="1" x14ac:dyDescent="0.2">
      <c r="A682" s="301"/>
      <c r="B682" s="302"/>
      <c r="C682" s="301"/>
      <c r="D682" s="301"/>
      <c r="E682" s="301"/>
      <c r="F682" s="301"/>
      <c r="G682" s="301"/>
      <c r="H682" s="215"/>
      <c r="I682" s="500"/>
      <c r="J682" s="652"/>
      <c r="K682" s="652"/>
      <c r="L682" s="652"/>
      <c r="M682" s="652"/>
      <c r="N682" s="652"/>
      <c r="O682" s="652"/>
      <c r="P682" s="652"/>
      <c r="Q682" s="652"/>
      <c r="R682" s="652"/>
      <c r="S682" s="652"/>
      <c r="T682" s="652"/>
      <c r="U682" s="652"/>
      <c r="V682" s="652"/>
      <c r="W682" s="653"/>
      <c r="X682" s="165" t="str">
        <f ca="1">G527</f>
        <v/>
      </c>
      <c r="Y682" s="194"/>
    </row>
    <row r="683" spans="1:25" ht="21.95" customHeight="1" x14ac:dyDescent="0.2">
      <c r="A683" s="301"/>
      <c r="B683" s="302"/>
      <c r="C683" s="301"/>
      <c r="D683" s="301"/>
      <c r="E683" s="301"/>
      <c r="F683" s="301"/>
      <c r="G683" s="301"/>
      <c r="H683" s="215"/>
      <c r="I683" s="654"/>
      <c r="J683" s="655"/>
      <c r="K683" s="655"/>
      <c r="L683" s="655"/>
      <c r="M683" s="655"/>
      <c r="N683" s="655"/>
      <c r="O683" s="655"/>
      <c r="P683" s="655"/>
      <c r="Q683" s="655"/>
      <c r="R683" s="655"/>
      <c r="S683" s="655"/>
      <c r="T683" s="655"/>
      <c r="U683" s="655"/>
      <c r="V683" s="655"/>
      <c r="W683" s="656"/>
      <c r="X683" s="153"/>
      <c r="Y683" s="194"/>
    </row>
    <row r="684" spans="1:25" ht="21.95" customHeight="1" x14ac:dyDescent="0.2">
      <c r="A684" s="301"/>
      <c r="B684" s="302"/>
      <c r="C684" s="301"/>
      <c r="D684" s="301"/>
      <c r="E684" s="301"/>
      <c r="F684" s="301"/>
      <c r="G684" s="301"/>
      <c r="H684" s="215"/>
      <c r="I684" s="657"/>
      <c r="J684" s="658"/>
      <c r="K684" s="658"/>
      <c r="L684" s="658"/>
      <c r="M684" s="658"/>
      <c r="N684" s="658"/>
      <c r="O684" s="658"/>
      <c r="P684" s="658"/>
      <c r="Q684" s="658"/>
      <c r="R684" s="658"/>
      <c r="S684" s="658"/>
      <c r="T684" s="658"/>
      <c r="U684" s="658"/>
      <c r="V684" s="658"/>
      <c r="W684" s="659"/>
      <c r="X684" s="153"/>
      <c r="Y684" s="194"/>
    </row>
    <row r="685" spans="1:25" ht="21.95" customHeight="1" x14ac:dyDescent="0.2">
      <c r="A685" s="301"/>
      <c r="B685" s="302"/>
      <c r="C685" s="301"/>
      <c r="D685" s="301"/>
      <c r="E685" s="301"/>
      <c r="F685" s="301"/>
      <c r="G685" s="301"/>
      <c r="H685" s="215"/>
      <c r="I685" s="193"/>
      <c r="J685" s="193"/>
      <c r="K685" s="193"/>
      <c r="L685" s="193"/>
      <c r="M685" s="193"/>
      <c r="N685" s="193"/>
      <c r="O685" s="193"/>
      <c r="P685" s="193"/>
      <c r="Q685" s="193"/>
      <c r="R685" s="193"/>
      <c r="S685" s="193"/>
      <c r="T685" s="193"/>
      <c r="U685" s="193"/>
      <c r="V685" s="193"/>
      <c r="W685" s="193"/>
      <c r="X685" s="153"/>
      <c r="Y685" s="194"/>
    </row>
    <row r="686" spans="1:25" ht="21.95" customHeight="1" thickBot="1" x14ac:dyDescent="0.25">
      <c r="A686" s="301"/>
      <c r="B686" s="302"/>
      <c r="C686" s="301"/>
      <c r="D686" s="301"/>
      <c r="E686" s="301"/>
      <c r="F686" s="301"/>
      <c r="G686" s="301"/>
      <c r="H686" s="215"/>
      <c r="I686" s="216" t="s">
        <v>3333</v>
      </c>
      <c r="J686" s="217"/>
      <c r="K686" s="223"/>
      <c r="L686" s="217"/>
      <c r="M686" s="223"/>
      <c r="N686" s="217"/>
      <c r="O686" s="223"/>
      <c r="P686" s="217"/>
      <c r="Q686" s="255"/>
      <c r="R686" s="217"/>
      <c r="S686" s="223"/>
      <c r="T686" s="217"/>
      <c r="U686" s="223"/>
      <c r="V686" s="217"/>
      <c r="W686" s="223"/>
      <c r="X686" s="153"/>
      <c r="Y686" s="194"/>
    </row>
    <row r="687" spans="1:25" ht="21.95" customHeight="1" thickTop="1" x14ac:dyDescent="0.2">
      <c r="A687" s="301"/>
      <c r="B687" s="302"/>
      <c r="C687" s="301"/>
      <c r="D687" s="301"/>
      <c r="E687" s="301"/>
      <c r="F687" s="301"/>
      <c r="G687" s="301"/>
      <c r="H687" s="215"/>
      <c r="I687" s="194"/>
      <c r="J687" s="153"/>
      <c r="K687" s="194"/>
      <c r="L687" s="153"/>
      <c r="M687" s="194"/>
      <c r="N687" s="153"/>
      <c r="O687" s="194"/>
      <c r="P687" s="153"/>
      <c r="Q687" s="194"/>
      <c r="R687" s="153"/>
      <c r="S687" s="194"/>
      <c r="T687" s="153"/>
      <c r="U687" s="194"/>
      <c r="V687" s="153"/>
      <c r="W687" s="194"/>
      <c r="X687" s="153"/>
      <c r="Y687" s="194"/>
    </row>
    <row r="688" spans="1:25" ht="21.95" customHeight="1" x14ac:dyDescent="0.2">
      <c r="A688" s="301"/>
      <c r="B688" s="302"/>
      <c r="C688" s="301"/>
      <c r="D688" s="301"/>
      <c r="E688" s="301"/>
      <c r="F688" s="301"/>
      <c r="G688" s="301"/>
      <c r="H688" s="152"/>
      <c r="I688" s="681" t="s">
        <v>3720</v>
      </c>
      <c r="J688" s="682"/>
      <c r="K688" s="682"/>
      <c r="L688" s="682"/>
      <c r="M688" s="682"/>
      <c r="N688" s="682"/>
      <c r="O688" s="682"/>
      <c r="P688" s="682"/>
      <c r="Q688" s="682"/>
      <c r="R688" s="682"/>
      <c r="S688" s="682"/>
      <c r="T688" s="682"/>
      <c r="U688" s="682"/>
      <c r="V688" s="682"/>
      <c r="W688" s="682"/>
      <c r="X688" s="173">
        <f ca="1">G528</f>
        <v>1</v>
      </c>
      <c r="Y688" s="194"/>
    </row>
    <row r="689" spans="1:25" ht="21.95" customHeight="1" x14ac:dyDescent="0.2">
      <c r="A689" s="301"/>
      <c r="B689" s="302"/>
      <c r="C689" s="301"/>
      <c r="D689" s="301"/>
      <c r="E689" s="301"/>
      <c r="F689" s="301"/>
      <c r="G689" s="301"/>
      <c r="H689" s="268" t="str">
        <f>IF($B$528=1,"Y","")</f>
        <v/>
      </c>
      <c r="I689" s="714" t="s">
        <v>3715</v>
      </c>
      <c r="J689" s="715"/>
      <c r="K689" s="715"/>
      <c r="L689" s="715"/>
      <c r="M689" s="715"/>
      <c r="N689" s="715"/>
      <c r="O689" s="715"/>
      <c r="P689" s="715"/>
      <c r="Q689" s="715"/>
      <c r="R689" s="715"/>
      <c r="S689" s="715"/>
      <c r="T689" s="715"/>
      <c r="U689" s="715"/>
      <c r="V689" s="715"/>
      <c r="W689" s="715"/>
      <c r="X689" s="153"/>
      <c r="Y689" s="194"/>
    </row>
    <row r="690" spans="1:25" ht="21.95" customHeight="1" x14ac:dyDescent="0.2">
      <c r="A690" s="301"/>
      <c r="B690" s="302"/>
      <c r="C690" s="301"/>
      <c r="D690" s="301"/>
      <c r="E690" s="301"/>
      <c r="F690" s="301"/>
      <c r="G690" s="301"/>
      <c r="H690" s="267"/>
      <c r="I690" s="715"/>
      <c r="J690" s="715"/>
      <c r="K690" s="715"/>
      <c r="L690" s="715"/>
      <c r="M690" s="715"/>
      <c r="N690" s="715"/>
      <c r="O690" s="715"/>
      <c r="P690" s="715"/>
      <c r="Q690" s="715"/>
      <c r="R690" s="715"/>
      <c r="S690" s="715"/>
      <c r="T690" s="715"/>
      <c r="U690" s="715"/>
      <c r="V690" s="715"/>
      <c r="W690" s="715"/>
      <c r="X690" s="153"/>
      <c r="Y690" s="194"/>
    </row>
    <row r="691" spans="1:25" ht="21.95" customHeight="1" x14ac:dyDescent="0.2">
      <c r="A691" s="301"/>
      <c r="B691" s="302"/>
      <c r="C691" s="301"/>
      <c r="D691" s="301"/>
      <c r="E691" s="301"/>
      <c r="F691" s="301"/>
      <c r="G691" s="301"/>
      <c r="H691" s="267"/>
      <c r="I691" s="677" t="s">
        <v>3334</v>
      </c>
      <c r="J691" s="678"/>
      <c r="K691" s="678"/>
      <c r="L691" s="678"/>
      <c r="M691" s="678"/>
      <c r="N691" s="678"/>
      <c r="O691" s="678"/>
      <c r="P691" s="678"/>
      <c r="Q691" s="678"/>
      <c r="R691" s="678"/>
      <c r="S691" s="678"/>
      <c r="T691" s="678"/>
      <c r="U691" s="678"/>
      <c r="V691" s="678"/>
      <c r="W691" s="678"/>
      <c r="X691" s="153"/>
      <c r="Y691" s="194"/>
    </row>
    <row r="692" spans="1:25" ht="21.95" customHeight="1" x14ac:dyDescent="0.2">
      <c r="A692" s="301"/>
      <c r="B692" s="302"/>
      <c r="C692" s="301"/>
      <c r="D692" s="301"/>
      <c r="E692" s="301"/>
      <c r="F692" s="301"/>
      <c r="G692" s="301"/>
      <c r="H692" s="267"/>
      <c r="I692" s="678"/>
      <c r="J692" s="678"/>
      <c r="K692" s="678"/>
      <c r="L692" s="678"/>
      <c r="M692" s="678"/>
      <c r="N692" s="678"/>
      <c r="O692" s="678"/>
      <c r="P692" s="678"/>
      <c r="Q692" s="678"/>
      <c r="R692" s="678"/>
      <c r="S692" s="678"/>
      <c r="T692" s="678"/>
      <c r="U692" s="678"/>
      <c r="V692" s="678"/>
      <c r="W692" s="678"/>
      <c r="X692" s="153"/>
      <c r="Y692" s="194"/>
    </row>
    <row r="693" spans="1:25" ht="21.95" customHeight="1" x14ac:dyDescent="0.2">
      <c r="A693" s="301"/>
      <c r="B693" s="302"/>
      <c r="C693" s="301"/>
      <c r="D693" s="301"/>
      <c r="E693" s="301"/>
      <c r="F693" s="301"/>
      <c r="G693" s="301"/>
      <c r="H693" s="266" t="str">
        <f>IF($B$528=2,"Y","")</f>
        <v/>
      </c>
      <c r="I693" s="714" t="s">
        <v>3716</v>
      </c>
      <c r="J693" s="715"/>
      <c r="K693" s="715"/>
      <c r="L693" s="715"/>
      <c r="M693" s="715"/>
      <c r="N693" s="715"/>
      <c r="O693" s="715"/>
      <c r="P693" s="715"/>
      <c r="Q693" s="715"/>
      <c r="R693" s="715"/>
      <c r="S693" s="715"/>
      <c r="T693" s="715"/>
      <c r="U693" s="715"/>
      <c r="V693" s="715"/>
      <c r="W693" s="715"/>
      <c r="X693" s="153"/>
      <c r="Y693" s="194"/>
    </row>
    <row r="694" spans="1:25" ht="21.95" customHeight="1" x14ac:dyDescent="0.2">
      <c r="A694" s="301"/>
      <c r="B694" s="302"/>
      <c r="C694" s="301"/>
      <c r="D694" s="301"/>
      <c r="E694" s="301"/>
      <c r="F694" s="301"/>
      <c r="G694" s="301"/>
      <c r="H694" s="267"/>
      <c r="I694" s="715"/>
      <c r="J694" s="715"/>
      <c r="K694" s="715"/>
      <c r="L694" s="715"/>
      <c r="M694" s="715"/>
      <c r="N694" s="715"/>
      <c r="O694" s="715"/>
      <c r="P694" s="715"/>
      <c r="Q694" s="715"/>
      <c r="R694" s="715"/>
      <c r="S694" s="715"/>
      <c r="T694" s="715"/>
      <c r="U694" s="715"/>
      <c r="V694" s="715"/>
      <c r="W694" s="715"/>
      <c r="X694" s="153"/>
      <c r="Y694" s="194"/>
    </row>
    <row r="695" spans="1:25" ht="21.95" customHeight="1" x14ac:dyDescent="0.2">
      <c r="A695" s="301"/>
      <c r="B695" s="302"/>
      <c r="C695" s="301"/>
      <c r="D695" s="301"/>
      <c r="E695" s="301"/>
      <c r="F695" s="301"/>
      <c r="G695" s="301"/>
      <c r="H695" s="267"/>
      <c r="I695" s="677" t="s">
        <v>3334</v>
      </c>
      <c r="J695" s="678"/>
      <c r="K695" s="678"/>
      <c r="L695" s="678"/>
      <c r="M695" s="678"/>
      <c r="N695" s="678"/>
      <c r="O695" s="678"/>
      <c r="P695" s="678"/>
      <c r="Q695" s="678"/>
      <c r="R695" s="678"/>
      <c r="S695" s="678"/>
      <c r="T695" s="678"/>
      <c r="U695" s="678"/>
      <c r="V695" s="678"/>
      <c r="W695" s="678"/>
      <c r="X695" s="153"/>
      <c r="Y695" s="194"/>
    </row>
    <row r="696" spans="1:25" ht="21.95" customHeight="1" x14ac:dyDescent="0.2">
      <c r="A696" s="301"/>
      <c r="B696" s="302"/>
      <c r="C696" s="301"/>
      <c r="D696" s="301"/>
      <c r="E696" s="301"/>
      <c r="F696" s="301"/>
      <c r="G696" s="301"/>
      <c r="H696" s="267"/>
      <c r="I696" s="678"/>
      <c r="J696" s="678"/>
      <c r="K696" s="678"/>
      <c r="L696" s="678"/>
      <c r="M696" s="678"/>
      <c r="N696" s="678"/>
      <c r="O696" s="678"/>
      <c r="P696" s="678"/>
      <c r="Q696" s="678"/>
      <c r="R696" s="678"/>
      <c r="S696" s="678"/>
      <c r="T696" s="678"/>
      <c r="U696" s="678"/>
      <c r="V696" s="678"/>
      <c r="W696" s="678"/>
      <c r="X696" s="153"/>
      <c r="Y696" s="194"/>
    </row>
    <row r="697" spans="1:25" ht="21.95" customHeight="1" x14ac:dyDescent="0.2">
      <c r="A697" s="301"/>
      <c r="B697" s="302"/>
      <c r="C697" s="301"/>
      <c r="D697" s="301"/>
      <c r="E697" s="301"/>
      <c r="F697" s="301"/>
      <c r="G697" s="301"/>
      <c r="H697" s="266" t="str">
        <f>IF($B$528=3,"Y","")</f>
        <v/>
      </c>
      <c r="I697" s="714" t="s">
        <v>3717</v>
      </c>
      <c r="J697" s="715"/>
      <c r="K697" s="715"/>
      <c r="L697" s="715"/>
      <c r="M697" s="715"/>
      <c r="N697" s="715"/>
      <c r="O697" s="715"/>
      <c r="P697" s="715"/>
      <c r="Q697" s="715"/>
      <c r="R697" s="715"/>
      <c r="S697" s="715"/>
      <c r="T697" s="715"/>
      <c r="U697" s="715"/>
      <c r="V697" s="715"/>
      <c r="W697" s="715"/>
      <c r="X697" s="153"/>
      <c r="Y697" s="194"/>
    </row>
    <row r="698" spans="1:25" ht="21.95" customHeight="1" x14ac:dyDescent="0.2">
      <c r="A698" s="301"/>
      <c r="B698" s="302"/>
      <c r="C698" s="301"/>
      <c r="D698" s="301"/>
      <c r="E698" s="301"/>
      <c r="F698" s="301"/>
      <c r="G698" s="301"/>
      <c r="H698" s="202"/>
      <c r="I698" s="715"/>
      <c r="J698" s="715"/>
      <c r="K698" s="715"/>
      <c r="L698" s="715"/>
      <c r="M698" s="715"/>
      <c r="N698" s="715"/>
      <c r="O698" s="715"/>
      <c r="P698" s="715"/>
      <c r="Q698" s="715"/>
      <c r="R698" s="715"/>
      <c r="S698" s="715"/>
      <c r="T698" s="715"/>
      <c r="U698" s="715"/>
      <c r="V698" s="715"/>
      <c r="W698" s="715"/>
      <c r="X698" s="153"/>
      <c r="Y698" s="194"/>
    </row>
    <row r="699" spans="1:25" ht="21.95" customHeight="1" x14ac:dyDescent="0.2">
      <c r="A699" s="301"/>
      <c r="B699" s="302"/>
      <c r="C699" s="301"/>
      <c r="D699" s="301"/>
      <c r="E699" s="301"/>
      <c r="F699" s="301"/>
      <c r="G699" s="301"/>
      <c r="H699" s="267"/>
      <c r="I699" s="677" t="s">
        <v>3334</v>
      </c>
      <c r="J699" s="678"/>
      <c r="K699" s="678"/>
      <c r="L699" s="678"/>
      <c r="M699" s="678"/>
      <c r="N699" s="678"/>
      <c r="O699" s="678"/>
      <c r="P699" s="678"/>
      <c r="Q699" s="678"/>
      <c r="R699" s="678"/>
      <c r="S699" s="678"/>
      <c r="T699" s="678"/>
      <c r="U699" s="678"/>
      <c r="V699" s="678"/>
      <c r="W699" s="678"/>
      <c r="X699" s="153"/>
      <c r="Y699" s="194"/>
    </row>
    <row r="700" spans="1:25" ht="21.95" customHeight="1" x14ac:dyDescent="0.2">
      <c r="A700" s="301"/>
      <c r="B700" s="302"/>
      <c r="C700" s="301"/>
      <c r="D700" s="301"/>
      <c r="E700" s="301"/>
      <c r="F700" s="301"/>
      <c r="G700" s="301"/>
      <c r="H700" s="267"/>
      <c r="I700" s="678"/>
      <c r="J700" s="678"/>
      <c r="K700" s="678"/>
      <c r="L700" s="678"/>
      <c r="M700" s="678"/>
      <c r="N700" s="678"/>
      <c r="O700" s="678"/>
      <c r="P700" s="678"/>
      <c r="Q700" s="678"/>
      <c r="R700" s="678"/>
      <c r="S700" s="678"/>
      <c r="T700" s="678"/>
      <c r="U700" s="678"/>
      <c r="V700" s="678"/>
      <c r="W700" s="678"/>
      <c r="X700" s="153"/>
      <c r="Y700" s="194"/>
    </row>
    <row r="701" spans="1:25" ht="21.95" customHeight="1" x14ac:dyDescent="0.2">
      <c r="A701" s="301"/>
      <c r="B701" s="302"/>
      <c r="C701" s="301"/>
      <c r="D701" s="301"/>
      <c r="E701" s="301"/>
      <c r="F701" s="301"/>
      <c r="G701" s="301"/>
      <c r="H701" s="266" t="str">
        <f>IF($B$528=4,"Y","")</f>
        <v/>
      </c>
      <c r="I701" s="473" t="s">
        <v>3718</v>
      </c>
      <c r="J701" s="474"/>
      <c r="K701" s="474"/>
      <c r="L701" s="474"/>
      <c r="M701" s="474"/>
      <c r="N701" s="474"/>
      <c r="O701" s="474"/>
      <c r="P701" s="474"/>
      <c r="Q701" s="474"/>
      <c r="R701" s="474"/>
      <c r="S701" s="474"/>
      <c r="T701" s="474"/>
      <c r="U701" s="474"/>
      <c r="V701" s="474"/>
      <c r="W701" s="474"/>
      <c r="X701" s="153"/>
      <c r="Y701" s="194"/>
    </row>
    <row r="702" spans="1:25" ht="21.95" customHeight="1" x14ac:dyDescent="0.2">
      <c r="A702" s="301"/>
      <c r="B702" s="302"/>
      <c r="C702" s="301"/>
      <c r="D702" s="301"/>
      <c r="E702" s="301"/>
      <c r="F702" s="301"/>
      <c r="G702" s="301"/>
      <c r="H702" s="267"/>
      <c r="I702" s="677" t="s">
        <v>3719</v>
      </c>
      <c r="J702" s="677"/>
      <c r="K702" s="677"/>
      <c r="L702" s="677"/>
      <c r="M702" s="677"/>
      <c r="N702" s="677"/>
      <c r="O702" s="677"/>
      <c r="P702" s="677"/>
      <c r="Q702" s="677"/>
      <c r="R702" s="677"/>
      <c r="S702" s="677"/>
      <c r="T702" s="677"/>
      <c r="U702" s="677"/>
      <c r="V702" s="677"/>
      <c r="W702" s="677"/>
      <c r="X702" s="153"/>
      <c r="Y702" s="194"/>
    </row>
    <row r="703" spans="1:25" ht="21.95" customHeight="1" x14ac:dyDescent="0.2">
      <c r="A703" s="301"/>
      <c r="B703" s="302"/>
      <c r="C703" s="301"/>
      <c r="D703" s="301"/>
      <c r="E703" s="301"/>
      <c r="F703" s="301"/>
      <c r="G703" s="301"/>
      <c r="H703" s="267"/>
      <c r="I703" s="677"/>
      <c r="J703" s="677"/>
      <c r="K703" s="677"/>
      <c r="L703" s="677"/>
      <c r="M703" s="677"/>
      <c r="N703" s="677"/>
      <c r="O703" s="677"/>
      <c r="P703" s="677"/>
      <c r="Q703" s="677"/>
      <c r="R703" s="677"/>
      <c r="S703" s="677"/>
      <c r="T703" s="677"/>
      <c r="U703" s="677"/>
      <c r="V703" s="677"/>
      <c r="W703" s="677"/>
      <c r="X703" s="153"/>
      <c r="Y703" s="194"/>
    </row>
    <row r="704" spans="1:25" ht="21.95" customHeight="1" x14ac:dyDescent="0.2">
      <c r="A704" s="301"/>
      <c r="B704" s="302"/>
      <c r="C704" s="301"/>
      <c r="D704" s="301"/>
      <c r="E704" s="301"/>
      <c r="F704" s="301"/>
      <c r="G704" s="301"/>
      <c r="H704" s="267"/>
      <c r="I704" s="677"/>
      <c r="J704" s="677"/>
      <c r="K704" s="677"/>
      <c r="L704" s="677"/>
      <c r="M704" s="677"/>
      <c r="N704" s="677"/>
      <c r="O704" s="677"/>
      <c r="P704" s="677"/>
      <c r="Q704" s="677"/>
      <c r="R704" s="677"/>
      <c r="S704" s="677"/>
      <c r="T704" s="677"/>
      <c r="U704" s="677"/>
      <c r="V704" s="677"/>
      <c r="W704" s="677"/>
      <c r="X704" s="153"/>
      <c r="Y704" s="194"/>
    </row>
    <row r="705" spans="1:25" ht="21.95" customHeight="1" x14ac:dyDescent="0.2">
      <c r="A705" s="301"/>
      <c r="B705" s="302"/>
      <c r="C705" s="301"/>
      <c r="D705" s="301"/>
      <c r="E705" s="301"/>
      <c r="F705" s="301"/>
      <c r="G705" s="301"/>
      <c r="H705" s="266" t="str">
        <f>IF($B$528=5,"Y","")</f>
        <v/>
      </c>
      <c r="I705" s="473" t="s">
        <v>3330</v>
      </c>
      <c r="J705" s="474"/>
      <c r="K705" s="474"/>
      <c r="L705" s="474"/>
      <c r="M705" s="474"/>
      <c r="N705" s="474"/>
      <c r="O705" s="474"/>
      <c r="P705" s="474"/>
      <c r="Q705" s="474"/>
      <c r="R705" s="474"/>
      <c r="S705" s="474"/>
      <c r="T705" s="474"/>
      <c r="U705" s="474"/>
      <c r="V705" s="474"/>
      <c r="W705" s="474"/>
      <c r="X705" s="153"/>
      <c r="Y705" s="194"/>
    </row>
    <row r="706" spans="1:25" ht="21.95" customHeight="1" x14ac:dyDescent="0.2">
      <c r="A706" s="301"/>
      <c r="B706" s="302"/>
      <c r="C706" s="301"/>
      <c r="D706" s="301"/>
      <c r="E706" s="301"/>
      <c r="F706" s="301"/>
      <c r="G706" s="301"/>
      <c r="H706" s="215"/>
      <c r="I706" s="194"/>
      <c r="J706" s="153"/>
      <c r="K706" s="194"/>
      <c r="L706" s="153"/>
      <c r="M706" s="194"/>
      <c r="N706" s="153"/>
      <c r="O706" s="194"/>
      <c r="P706" s="153"/>
      <c r="Q706" s="194"/>
      <c r="R706" s="153"/>
      <c r="S706" s="194"/>
      <c r="T706" s="153"/>
      <c r="U706" s="194"/>
      <c r="V706" s="153"/>
      <c r="W706" s="194"/>
      <c r="X706" s="153"/>
      <c r="Y706" s="194"/>
    </row>
    <row r="707" spans="1:25" ht="21.95" customHeight="1" x14ac:dyDescent="0.2">
      <c r="A707" s="301"/>
      <c r="B707" s="302"/>
      <c r="C707" s="301"/>
      <c r="D707" s="301"/>
      <c r="E707" s="301"/>
      <c r="F707" s="301"/>
      <c r="G707" s="301"/>
      <c r="H707" s="215"/>
      <c r="I707" s="226" t="s">
        <v>3649</v>
      </c>
      <c r="J707" s="379"/>
      <c r="K707" s="379"/>
      <c r="L707" s="379"/>
      <c r="M707" s="379"/>
      <c r="N707" s="379"/>
      <c r="O707" s="379"/>
      <c r="P707" s="379"/>
      <c r="Q707" s="379"/>
      <c r="R707" s="379"/>
      <c r="S707" s="379"/>
      <c r="T707" s="379"/>
      <c r="U707" s="379"/>
      <c r="V707" s="379"/>
      <c r="W707" s="175" t="str">
        <f>SUBSTITUTE(SUBSTITUTE(SUBSTITUTE(IF(LEN(B529)&gt;F529,CONFIG_CHAR_LIMIT_TEMPLATE_ERR,CONFIG_CHAR_LIMIT_TEMPLATE),"[diff]",ABS(LEN(B529)-F529)),"[limit]",F529),"[used]",LEN(B529))</f>
        <v>1000 character(s) remaining</v>
      </c>
      <c r="X707" s="153"/>
      <c r="Y707" s="194"/>
    </row>
    <row r="708" spans="1:25" ht="21.95" customHeight="1" x14ac:dyDescent="0.2">
      <c r="A708" s="301"/>
      <c r="B708" s="302"/>
      <c r="C708" s="301"/>
      <c r="D708" s="301"/>
      <c r="E708" s="301"/>
      <c r="F708" s="301"/>
      <c r="G708" s="301"/>
      <c r="H708" s="215"/>
      <c r="I708" s="500"/>
      <c r="J708" s="652"/>
      <c r="K708" s="652"/>
      <c r="L708" s="652"/>
      <c r="M708" s="652"/>
      <c r="N708" s="652"/>
      <c r="O708" s="652"/>
      <c r="P708" s="652"/>
      <c r="Q708" s="652"/>
      <c r="R708" s="652"/>
      <c r="S708" s="652"/>
      <c r="T708" s="652"/>
      <c r="U708" s="652"/>
      <c r="V708" s="652"/>
      <c r="W708" s="653"/>
      <c r="X708" s="165" t="str">
        <f ca="1">G529</f>
        <v/>
      </c>
      <c r="Y708" s="194"/>
    </row>
    <row r="709" spans="1:25" ht="21.95" customHeight="1" x14ac:dyDescent="0.2">
      <c r="A709" s="301"/>
      <c r="B709" s="302"/>
      <c r="C709" s="301"/>
      <c r="D709" s="301"/>
      <c r="E709" s="301"/>
      <c r="F709" s="301"/>
      <c r="G709" s="301"/>
      <c r="H709" s="215"/>
      <c r="I709" s="654"/>
      <c r="J709" s="655"/>
      <c r="K709" s="655"/>
      <c r="L709" s="655"/>
      <c r="M709" s="655"/>
      <c r="N709" s="655"/>
      <c r="O709" s="655"/>
      <c r="P709" s="655"/>
      <c r="Q709" s="655"/>
      <c r="R709" s="655"/>
      <c r="S709" s="655"/>
      <c r="T709" s="655"/>
      <c r="U709" s="655"/>
      <c r="V709" s="655"/>
      <c r="W709" s="656"/>
      <c r="X709" s="153"/>
      <c r="Y709" s="194"/>
    </row>
    <row r="710" spans="1:25" ht="21.95" customHeight="1" x14ac:dyDescent="0.2">
      <c r="A710" s="301"/>
      <c r="B710" s="302"/>
      <c r="C710" s="301"/>
      <c r="D710" s="301"/>
      <c r="E710" s="301"/>
      <c r="F710" s="301"/>
      <c r="G710" s="301"/>
      <c r="H710" s="215"/>
      <c r="I710" s="657"/>
      <c r="J710" s="658"/>
      <c r="K710" s="658"/>
      <c r="L710" s="658"/>
      <c r="M710" s="658"/>
      <c r="N710" s="658"/>
      <c r="O710" s="658"/>
      <c r="P710" s="658"/>
      <c r="Q710" s="658"/>
      <c r="R710" s="658"/>
      <c r="S710" s="658"/>
      <c r="T710" s="658"/>
      <c r="U710" s="658"/>
      <c r="V710" s="658"/>
      <c r="W710" s="659"/>
      <c r="X710" s="153"/>
      <c r="Y710" s="194"/>
    </row>
    <row r="711" spans="1:25" ht="21.95" customHeight="1" x14ac:dyDescent="0.2">
      <c r="A711" s="301"/>
      <c r="B711" s="302"/>
      <c r="C711" s="301"/>
      <c r="D711" s="301"/>
      <c r="E711" s="301"/>
      <c r="F711" s="301"/>
      <c r="G711" s="301"/>
      <c r="H711" s="215"/>
      <c r="I711" s="194"/>
      <c r="J711" s="153"/>
      <c r="K711" s="194"/>
      <c r="L711" s="153"/>
      <c r="M711" s="194"/>
      <c r="N711" s="153"/>
      <c r="O711" s="194"/>
      <c r="P711" s="153"/>
      <c r="Q711" s="194"/>
      <c r="R711" s="153"/>
      <c r="S711" s="194"/>
      <c r="T711" s="153"/>
      <c r="U711" s="194"/>
      <c r="V711" s="153"/>
      <c r="W711" s="194"/>
      <c r="X711" s="153"/>
      <c r="Y711" s="194"/>
    </row>
    <row r="712" spans="1:25" ht="21.95" customHeight="1" thickBot="1" x14ac:dyDescent="0.25">
      <c r="A712" s="301"/>
      <c r="B712" s="302"/>
      <c r="C712" s="301"/>
      <c r="D712" s="301"/>
      <c r="E712" s="301"/>
      <c r="F712" s="301"/>
      <c r="G712" s="301"/>
      <c r="H712" s="215"/>
      <c r="I712" s="216" t="s">
        <v>3335</v>
      </c>
      <c r="J712" s="217"/>
      <c r="K712" s="223"/>
      <c r="L712" s="217"/>
      <c r="M712" s="223"/>
      <c r="N712" s="217"/>
      <c r="O712" s="223"/>
      <c r="P712" s="217"/>
      <c r="Q712" s="255"/>
      <c r="R712" s="217"/>
      <c r="S712" s="223"/>
      <c r="T712" s="217"/>
      <c r="U712" s="223"/>
      <c r="V712" s="217"/>
      <c r="W712" s="223"/>
      <c r="X712" s="153"/>
      <c r="Y712" s="194"/>
    </row>
    <row r="713" spans="1:25" ht="21.95" customHeight="1" thickTop="1" x14ac:dyDescent="0.2">
      <c r="A713" s="301"/>
      <c r="B713" s="302"/>
      <c r="C713" s="301"/>
      <c r="D713" s="301"/>
      <c r="E713" s="301"/>
      <c r="F713" s="301"/>
      <c r="G713" s="301"/>
      <c r="H713" s="215"/>
      <c r="I713" s="194"/>
      <c r="J713" s="153"/>
      <c r="K713" s="194"/>
      <c r="L713" s="153"/>
      <c r="M713" s="194"/>
      <c r="N713" s="153"/>
      <c r="O713" s="194"/>
      <c r="P713" s="153"/>
      <c r="Q713" s="194"/>
      <c r="R713" s="153"/>
      <c r="S713" s="194"/>
      <c r="T713" s="153"/>
      <c r="U713" s="194"/>
      <c r="V713" s="153"/>
      <c r="W713" s="194"/>
      <c r="X713" s="153"/>
      <c r="Y713" s="194"/>
    </row>
    <row r="714" spans="1:25" ht="21.95" customHeight="1" x14ac:dyDescent="0.2">
      <c r="A714" s="301"/>
      <c r="B714" s="302"/>
      <c r="C714" s="301"/>
      <c r="D714" s="301"/>
      <c r="E714" s="301"/>
      <c r="F714" s="301"/>
      <c r="G714" s="301"/>
      <c r="H714" s="152"/>
      <c r="I714" s="679" t="s">
        <v>3482</v>
      </c>
      <c r="J714" s="680"/>
      <c r="K714" s="680"/>
      <c r="L714" s="680"/>
      <c r="M714" s="680"/>
      <c r="N714" s="680"/>
      <c r="O714" s="680"/>
      <c r="P714" s="680"/>
      <c r="Q714" s="680"/>
      <c r="R714" s="680"/>
      <c r="S714" s="680"/>
      <c r="T714" s="680"/>
      <c r="U714" s="680"/>
      <c r="V714" s="680"/>
      <c r="W714" s="680"/>
      <c r="X714" s="153"/>
      <c r="Y714" s="194"/>
    </row>
    <row r="715" spans="1:25" ht="21.95" customHeight="1" x14ac:dyDescent="0.2">
      <c r="A715" s="301"/>
      <c r="B715" s="302"/>
      <c r="C715" s="301"/>
      <c r="D715" s="301"/>
      <c r="E715" s="301"/>
      <c r="F715" s="301"/>
      <c r="G715" s="301"/>
      <c r="H715" s="266" t="str">
        <f>IF($B$530=TRUE,"Y","")</f>
        <v/>
      </c>
      <c r="I715" s="473" t="s">
        <v>3336</v>
      </c>
      <c r="J715" s="474"/>
      <c r="K715" s="474"/>
      <c r="L715" s="474"/>
      <c r="M715" s="474"/>
      <c r="N715" s="474"/>
      <c r="O715" s="474"/>
      <c r="P715" s="474"/>
      <c r="Q715" s="474"/>
      <c r="R715" s="474"/>
      <c r="S715" s="474"/>
      <c r="T715" s="474"/>
      <c r="U715" s="474"/>
      <c r="V715" s="474"/>
      <c r="W715" s="474"/>
      <c r="X715" s="153"/>
      <c r="Y715" s="194"/>
    </row>
    <row r="716" spans="1:25" ht="21.95" customHeight="1" x14ac:dyDescent="0.2">
      <c r="A716" s="301"/>
      <c r="B716" s="302"/>
      <c r="C716" s="301"/>
      <c r="D716" s="301"/>
      <c r="E716" s="301"/>
      <c r="F716" s="301"/>
      <c r="G716" s="301"/>
      <c r="H716" s="215"/>
      <c r="I716" s="677" t="s">
        <v>3477</v>
      </c>
      <c r="J716" s="678"/>
      <c r="K716" s="678"/>
      <c r="L716" s="678"/>
      <c r="M716" s="678"/>
      <c r="N716" s="678"/>
      <c r="O716" s="678"/>
      <c r="P716" s="678"/>
      <c r="Q716" s="678"/>
      <c r="R716" s="678"/>
      <c r="S716" s="678"/>
      <c r="T716" s="678"/>
      <c r="U716" s="678"/>
      <c r="V716" s="678"/>
      <c r="W716" s="678"/>
      <c r="X716" s="153"/>
      <c r="Y716" s="194"/>
    </row>
    <row r="717" spans="1:25" ht="21.95" customHeight="1" x14ac:dyDescent="0.2">
      <c r="A717" s="301"/>
      <c r="B717" s="302"/>
      <c r="C717" s="301"/>
      <c r="D717" s="301"/>
      <c r="E717" s="301"/>
      <c r="F717" s="301"/>
      <c r="G717" s="301"/>
      <c r="H717" s="215"/>
      <c r="I717" s="678"/>
      <c r="J717" s="678"/>
      <c r="K717" s="678"/>
      <c r="L717" s="678"/>
      <c r="M717" s="678"/>
      <c r="N717" s="678"/>
      <c r="O717" s="678"/>
      <c r="P717" s="678"/>
      <c r="Q717" s="678"/>
      <c r="R717" s="678"/>
      <c r="S717" s="678"/>
      <c r="T717" s="678"/>
      <c r="U717" s="678"/>
      <c r="V717" s="678"/>
      <c r="W717" s="678"/>
      <c r="X717" s="153"/>
      <c r="Y717" s="194"/>
    </row>
    <row r="718" spans="1:25" ht="21.95" customHeight="1" x14ac:dyDescent="0.2">
      <c r="A718" s="301"/>
      <c r="B718" s="302"/>
      <c r="C718" s="301"/>
      <c r="D718" s="301"/>
      <c r="E718" s="301"/>
      <c r="F718" s="301"/>
      <c r="G718" s="301"/>
      <c r="H718" s="215"/>
      <c r="I718" s="678"/>
      <c r="J718" s="678"/>
      <c r="K718" s="678"/>
      <c r="L718" s="678"/>
      <c r="M718" s="678"/>
      <c r="N718" s="678"/>
      <c r="O718" s="678"/>
      <c r="P718" s="678"/>
      <c r="Q718" s="678"/>
      <c r="R718" s="678"/>
      <c r="S718" s="678"/>
      <c r="T718" s="678"/>
      <c r="U718" s="678"/>
      <c r="V718" s="678"/>
      <c r="W718" s="678"/>
      <c r="X718" s="153"/>
      <c r="Y718" s="194"/>
    </row>
    <row r="719" spans="1:25" ht="21.95" customHeight="1" x14ac:dyDescent="0.2">
      <c r="A719" s="301"/>
      <c r="B719" s="302"/>
      <c r="C719" s="301"/>
      <c r="D719" s="301"/>
      <c r="E719" s="301"/>
      <c r="F719" s="301"/>
      <c r="G719" s="301"/>
      <c r="H719" s="266" t="str">
        <f>IF($B$531=TRUE,"Y","")</f>
        <v/>
      </c>
      <c r="I719" s="473" t="s">
        <v>3692</v>
      </c>
      <c r="J719" s="474"/>
      <c r="K719" s="474"/>
      <c r="L719" s="474"/>
      <c r="M719" s="474"/>
      <c r="N719" s="474"/>
      <c r="O719" s="474"/>
      <c r="P719" s="474"/>
      <c r="Q719" s="474"/>
      <c r="R719" s="474"/>
      <c r="S719" s="474"/>
      <c r="T719" s="474"/>
      <c r="U719" s="474"/>
      <c r="V719" s="474"/>
      <c r="W719" s="474"/>
      <c r="X719" s="153"/>
      <c r="Y719" s="194"/>
    </row>
    <row r="720" spans="1:25" ht="21.95" customHeight="1" x14ac:dyDescent="0.2">
      <c r="A720" s="301"/>
      <c r="B720" s="302"/>
      <c r="C720" s="301"/>
      <c r="D720" s="301"/>
      <c r="E720" s="301"/>
      <c r="F720" s="301"/>
      <c r="G720" s="301"/>
      <c r="H720" s="215"/>
      <c r="I720" s="554" t="s">
        <v>3693</v>
      </c>
      <c r="J720" s="555"/>
      <c r="K720" s="555"/>
      <c r="L720" s="555"/>
      <c r="M720" s="555"/>
      <c r="N720" s="555"/>
      <c r="O720" s="555"/>
      <c r="P720" s="555"/>
      <c r="Q720" s="555"/>
      <c r="R720" s="555"/>
      <c r="S720" s="555"/>
      <c r="T720" s="555"/>
      <c r="U720" s="555"/>
      <c r="V720" s="555"/>
      <c r="W720" s="556"/>
      <c r="X720" s="153"/>
      <c r="Y720" s="194"/>
    </row>
    <row r="721" spans="1:25" ht="21.95" customHeight="1" x14ac:dyDescent="0.2">
      <c r="A721" s="301"/>
      <c r="B721" s="302"/>
      <c r="C721" s="301"/>
      <c r="D721" s="301"/>
      <c r="E721" s="301"/>
      <c r="F721" s="301"/>
      <c r="G721" s="301"/>
      <c r="H721" s="215"/>
      <c r="I721" s="557"/>
      <c r="J721" s="558"/>
      <c r="K721" s="558"/>
      <c r="L721" s="558"/>
      <c r="M721" s="558"/>
      <c r="N721" s="558"/>
      <c r="O721" s="558"/>
      <c r="P721" s="558"/>
      <c r="Q721" s="558"/>
      <c r="R721" s="558"/>
      <c r="S721" s="558"/>
      <c r="T721" s="558"/>
      <c r="U721" s="558"/>
      <c r="V721" s="558"/>
      <c r="W721" s="559"/>
      <c r="X721" s="153"/>
      <c r="Y721" s="194"/>
    </row>
    <row r="722" spans="1:25" ht="21.95" customHeight="1" x14ac:dyDescent="0.2">
      <c r="A722" s="301"/>
      <c r="B722" s="302"/>
      <c r="C722" s="301"/>
      <c r="D722" s="301"/>
      <c r="E722" s="301"/>
      <c r="F722" s="301"/>
      <c r="G722" s="301"/>
      <c r="H722" s="215"/>
      <c r="I722" s="557"/>
      <c r="J722" s="558"/>
      <c r="K722" s="558"/>
      <c r="L722" s="558"/>
      <c r="M722" s="558"/>
      <c r="N722" s="558"/>
      <c r="O722" s="558"/>
      <c r="P722" s="558"/>
      <c r="Q722" s="558"/>
      <c r="R722" s="558"/>
      <c r="S722" s="558"/>
      <c r="T722" s="558"/>
      <c r="U722" s="558"/>
      <c r="V722" s="558"/>
      <c r="W722" s="559"/>
      <c r="X722" s="153"/>
      <c r="Y722" s="194"/>
    </row>
    <row r="723" spans="1:25" ht="21.95" customHeight="1" x14ac:dyDescent="0.2">
      <c r="A723" s="301"/>
      <c r="B723" s="302"/>
      <c r="C723" s="301"/>
      <c r="D723" s="301"/>
      <c r="E723" s="301"/>
      <c r="F723" s="301"/>
      <c r="G723" s="301"/>
      <c r="H723" s="215"/>
      <c r="I723" s="557"/>
      <c r="J723" s="558"/>
      <c r="K723" s="558"/>
      <c r="L723" s="558"/>
      <c r="M723" s="558"/>
      <c r="N723" s="558"/>
      <c r="O723" s="558"/>
      <c r="P723" s="558"/>
      <c r="Q723" s="558"/>
      <c r="R723" s="558"/>
      <c r="S723" s="558"/>
      <c r="T723" s="558"/>
      <c r="U723" s="558"/>
      <c r="V723" s="558"/>
      <c r="W723" s="559"/>
      <c r="X723" s="153"/>
      <c r="Y723" s="194"/>
    </row>
    <row r="724" spans="1:25" ht="21.95" customHeight="1" x14ac:dyDescent="0.2">
      <c r="A724" s="301"/>
      <c r="B724" s="302"/>
      <c r="C724" s="301"/>
      <c r="D724" s="301"/>
      <c r="E724" s="301"/>
      <c r="F724" s="301"/>
      <c r="G724" s="301"/>
      <c r="H724" s="215"/>
      <c r="I724" s="557"/>
      <c r="J724" s="558"/>
      <c r="K724" s="558"/>
      <c r="L724" s="558"/>
      <c r="M724" s="558"/>
      <c r="N724" s="558"/>
      <c r="O724" s="558"/>
      <c r="P724" s="558"/>
      <c r="Q724" s="558"/>
      <c r="R724" s="558"/>
      <c r="S724" s="558"/>
      <c r="T724" s="558"/>
      <c r="U724" s="558"/>
      <c r="V724" s="558"/>
      <c r="W724" s="559"/>
      <c r="X724" s="153"/>
      <c r="Y724" s="194"/>
    </row>
    <row r="725" spans="1:25" ht="21.95" customHeight="1" x14ac:dyDescent="0.2">
      <c r="A725" s="301"/>
      <c r="B725" s="302"/>
      <c r="C725" s="301"/>
      <c r="D725" s="301"/>
      <c r="E725" s="301"/>
      <c r="F725" s="301"/>
      <c r="G725" s="301"/>
      <c r="H725" s="215"/>
      <c r="I725" s="560"/>
      <c r="J725" s="561"/>
      <c r="K725" s="561"/>
      <c r="L725" s="561"/>
      <c r="M725" s="561"/>
      <c r="N725" s="561"/>
      <c r="O725" s="561"/>
      <c r="P725" s="561"/>
      <c r="Q725" s="561"/>
      <c r="R725" s="561"/>
      <c r="S725" s="561"/>
      <c r="T725" s="561"/>
      <c r="U725" s="561"/>
      <c r="V725" s="561"/>
      <c r="W725" s="562"/>
      <c r="X725" s="153"/>
      <c r="Y725" s="194"/>
    </row>
    <row r="726" spans="1:25" ht="21.95" customHeight="1" x14ac:dyDescent="0.2">
      <c r="A726" s="301"/>
      <c r="B726" s="302"/>
      <c r="C726" s="301"/>
      <c r="D726" s="301"/>
      <c r="E726" s="301"/>
      <c r="F726" s="301"/>
      <c r="G726" s="301"/>
      <c r="H726" s="215"/>
      <c r="I726" s="194"/>
      <c r="J726" s="153"/>
      <c r="K726" s="194"/>
      <c r="L726" s="153"/>
      <c r="M726" s="194"/>
      <c r="N726" s="153"/>
      <c r="O726" s="194"/>
      <c r="P726" s="153"/>
      <c r="Q726" s="194"/>
      <c r="R726" s="153"/>
      <c r="S726" s="194"/>
      <c r="T726" s="153"/>
      <c r="U726" s="194"/>
      <c r="V726" s="153"/>
      <c r="W726" s="194"/>
      <c r="X726" s="153"/>
      <c r="Y726" s="194"/>
    </row>
    <row r="727" spans="1:25" ht="21.95" customHeight="1" thickBot="1" x14ac:dyDescent="0.25">
      <c r="A727" s="301"/>
      <c r="B727" s="302"/>
      <c r="C727" s="301"/>
      <c r="D727" s="301"/>
      <c r="E727" s="301"/>
      <c r="F727" s="301"/>
      <c r="G727" s="301"/>
      <c r="H727" s="306"/>
      <c r="I727" s="216" t="s">
        <v>3337</v>
      </c>
      <c r="J727" s="217"/>
      <c r="K727" s="223"/>
      <c r="L727" s="217"/>
      <c r="M727" s="223"/>
      <c r="N727" s="217"/>
      <c r="O727" s="223"/>
      <c r="P727" s="217"/>
      <c r="Q727" s="255"/>
      <c r="R727" s="217"/>
      <c r="S727" s="223"/>
      <c r="T727" s="217"/>
      <c r="U727" s="223"/>
      <c r="V727" s="217"/>
      <c r="W727" s="223"/>
      <c r="X727" s="153"/>
      <c r="Y727" s="194"/>
    </row>
    <row r="728" spans="1:25" ht="21.95" customHeight="1" thickTop="1" x14ac:dyDescent="0.2">
      <c r="A728" s="301"/>
      <c r="B728" s="302"/>
      <c r="C728" s="301"/>
      <c r="D728" s="301"/>
      <c r="E728" s="301"/>
      <c r="F728" s="301"/>
      <c r="G728" s="301"/>
      <c r="H728" s="215"/>
      <c r="I728" s="194"/>
      <c r="J728" s="153"/>
      <c r="K728" s="194"/>
      <c r="L728" s="153"/>
      <c r="M728" s="194"/>
      <c r="N728" s="153"/>
      <c r="O728" s="194"/>
      <c r="P728" s="153"/>
      <c r="Q728" s="194"/>
      <c r="R728" s="153"/>
      <c r="S728" s="194"/>
      <c r="T728" s="153"/>
      <c r="U728" s="194"/>
      <c r="V728" s="153"/>
      <c r="W728" s="194"/>
      <c r="X728" s="153"/>
      <c r="Y728" s="194"/>
    </row>
    <row r="729" spans="1:25" ht="21.95" customHeight="1" x14ac:dyDescent="0.2">
      <c r="A729" s="301"/>
      <c r="B729" s="302"/>
      <c r="C729" s="301"/>
      <c r="D729" s="301"/>
      <c r="E729" s="301"/>
      <c r="F729" s="301"/>
      <c r="G729" s="301"/>
      <c r="H729" s="152"/>
      <c r="I729" s="681" t="s">
        <v>3481</v>
      </c>
      <c r="J729" s="682"/>
      <c r="K729" s="682"/>
      <c r="L729" s="682"/>
      <c r="M729" s="682"/>
      <c r="N729" s="682"/>
      <c r="O729" s="682"/>
      <c r="P729" s="682"/>
      <c r="Q729" s="682"/>
      <c r="R729" s="682"/>
      <c r="S729" s="682"/>
      <c r="T729" s="682"/>
      <c r="U729" s="682"/>
      <c r="V729" s="682"/>
      <c r="W729" s="682"/>
      <c r="X729" s="165">
        <f ca="1">G532</f>
        <v>1</v>
      </c>
      <c r="Y729" s="194"/>
    </row>
    <row r="730" spans="1:25" ht="21.95" customHeight="1" x14ac:dyDescent="0.2">
      <c r="A730" s="301"/>
      <c r="B730" s="302"/>
      <c r="C730" s="301"/>
      <c r="D730" s="301"/>
      <c r="E730" s="301"/>
      <c r="F730" s="301"/>
      <c r="G730" s="301"/>
      <c r="H730" s="266" t="str">
        <f>IF($B$532=1,"Y","")</f>
        <v/>
      </c>
      <c r="I730" s="473" t="s">
        <v>3694</v>
      </c>
      <c r="J730" s="474"/>
      <c r="K730" s="474"/>
      <c r="L730" s="474"/>
      <c r="M730" s="474"/>
      <c r="N730" s="474"/>
      <c r="O730" s="474"/>
      <c r="P730" s="474"/>
      <c r="Q730" s="474"/>
      <c r="R730" s="474"/>
      <c r="S730" s="474"/>
      <c r="T730" s="474"/>
      <c r="U730" s="474"/>
      <c r="V730" s="474"/>
      <c r="W730" s="474"/>
      <c r="X730" s="153"/>
      <c r="Y730" s="194"/>
    </row>
    <row r="731" spans="1:25" ht="21.95" customHeight="1" x14ac:dyDescent="0.2">
      <c r="A731" s="301"/>
      <c r="B731" s="302"/>
      <c r="C731" s="301"/>
      <c r="D731" s="301"/>
      <c r="E731" s="301"/>
      <c r="F731" s="301"/>
      <c r="G731" s="301"/>
      <c r="H731" s="267"/>
      <c r="I731" s="374" t="s">
        <v>3695</v>
      </c>
      <c r="J731" s="373"/>
      <c r="K731" s="373"/>
      <c r="L731" s="373"/>
      <c r="M731" s="373"/>
      <c r="N731" s="373"/>
      <c r="O731" s="373"/>
      <c r="P731" s="373"/>
      <c r="Q731" s="373"/>
      <c r="R731" s="373"/>
      <c r="S731" s="373"/>
      <c r="T731" s="373"/>
      <c r="U731" s="373"/>
      <c r="V731" s="373"/>
      <c r="W731" s="175" t="str">
        <f>SUBSTITUTE(SUBSTITUTE(SUBSTITUTE(IF(LEN(B533)&gt;F533,CONFIG_CHAR_LIMIT_TEMPLATE_ERR,CONFIG_CHAR_LIMIT_TEMPLATE),"[diff]",ABS(LEN(B533)-F533)),"[limit]",F533),"[used]",LEN(B533))</f>
        <v>1000 character(s) remaining</v>
      </c>
      <c r="Y731" s="194"/>
    </row>
    <row r="732" spans="1:25" ht="21.95" customHeight="1" x14ac:dyDescent="0.2">
      <c r="A732" s="301"/>
      <c r="B732" s="302"/>
      <c r="C732" s="301"/>
      <c r="D732" s="301"/>
      <c r="E732" s="301"/>
      <c r="F732" s="301"/>
      <c r="G732" s="301"/>
      <c r="H732" s="267"/>
      <c r="I732" s="683"/>
      <c r="J732" s="684"/>
      <c r="K732" s="684"/>
      <c r="L732" s="684"/>
      <c r="M732" s="684"/>
      <c r="N732" s="684"/>
      <c r="O732" s="684"/>
      <c r="P732" s="684"/>
      <c r="Q732" s="684"/>
      <c r="R732" s="684"/>
      <c r="S732" s="684"/>
      <c r="T732" s="684"/>
      <c r="U732" s="684"/>
      <c r="V732" s="684"/>
      <c r="W732" s="685"/>
      <c r="X732" s="165" t="str">
        <f ca="1">G533</f>
        <v/>
      </c>
      <c r="Y732" s="194"/>
    </row>
    <row r="733" spans="1:25" ht="21.95" customHeight="1" x14ac:dyDescent="0.2">
      <c r="A733" s="301"/>
      <c r="B733" s="302"/>
      <c r="C733" s="301"/>
      <c r="D733" s="301"/>
      <c r="E733" s="301"/>
      <c r="F733" s="301"/>
      <c r="G733" s="301"/>
      <c r="H733" s="267"/>
      <c r="I733" s="686"/>
      <c r="J733" s="687"/>
      <c r="K733" s="687"/>
      <c r="L733" s="687"/>
      <c r="M733" s="687"/>
      <c r="N733" s="687"/>
      <c r="O733" s="687"/>
      <c r="P733" s="687"/>
      <c r="Q733" s="687"/>
      <c r="R733" s="687"/>
      <c r="S733" s="687"/>
      <c r="T733" s="687"/>
      <c r="U733" s="687"/>
      <c r="V733" s="687"/>
      <c r="W733" s="688"/>
      <c r="X733" s="153"/>
      <c r="Y733" s="194"/>
    </row>
    <row r="734" spans="1:25" ht="21.95" customHeight="1" x14ac:dyDescent="0.2">
      <c r="A734" s="301"/>
      <c r="B734" s="302"/>
      <c r="C734" s="301"/>
      <c r="D734" s="301"/>
      <c r="E734" s="301"/>
      <c r="F734" s="301"/>
      <c r="G734" s="301"/>
      <c r="H734" s="267"/>
      <c r="I734" s="689"/>
      <c r="J734" s="690"/>
      <c r="K734" s="690"/>
      <c r="L734" s="690"/>
      <c r="M734" s="690"/>
      <c r="N734" s="690"/>
      <c r="O734" s="690"/>
      <c r="P734" s="690"/>
      <c r="Q734" s="690"/>
      <c r="R734" s="690"/>
      <c r="S734" s="690"/>
      <c r="T734" s="690"/>
      <c r="U734" s="690"/>
      <c r="V734" s="690"/>
      <c r="W734" s="691"/>
      <c r="X734" s="153"/>
      <c r="Y734" s="194"/>
    </row>
    <row r="735" spans="1:25" ht="21.95" customHeight="1" x14ac:dyDescent="0.2">
      <c r="A735" s="301"/>
      <c r="B735" s="302"/>
      <c r="C735" s="301"/>
      <c r="D735" s="301"/>
      <c r="E735" s="301"/>
      <c r="F735" s="301"/>
      <c r="G735" s="301"/>
      <c r="H735" s="266" t="str">
        <f>IF($B$532=2,"Y","")</f>
        <v/>
      </c>
      <c r="I735" s="473" t="s">
        <v>3696</v>
      </c>
      <c r="J735" s="474"/>
      <c r="K735" s="474"/>
      <c r="L735" s="474"/>
      <c r="M735" s="474"/>
      <c r="N735" s="474"/>
      <c r="O735" s="474"/>
      <c r="P735" s="474"/>
      <c r="Q735" s="474"/>
      <c r="R735" s="474"/>
      <c r="S735" s="474"/>
      <c r="T735" s="474"/>
      <c r="U735" s="474"/>
      <c r="V735" s="474"/>
      <c r="W735" s="474"/>
      <c r="X735" s="153"/>
      <c r="Y735" s="194"/>
    </row>
    <row r="736" spans="1:25" ht="21.95" customHeight="1" x14ac:dyDescent="0.2">
      <c r="A736" s="301"/>
      <c r="B736" s="302"/>
      <c r="C736" s="301"/>
      <c r="D736" s="301"/>
      <c r="E736" s="301"/>
      <c r="F736" s="301"/>
      <c r="G736" s="301"/>
      <c r="H736" s="267"/>
      <c r="I736" s="692" t="s">
        <v>3697</v>
      </c>
      <c r="J736" s="693"/>
      <c r="K736" s="693"/>
      <c r="L736" s="693"/>
      <c r="M736" s="693"/>
      <c r="N736" s="693"/>
      <c r="O736" s="693"/>
      <c r="P736" s="693"/>
      <c r="Q736" s="693"/>
      <c r="R736" s="693"/>
      <c r="S736" s="693"/>
      <c r="T736" s="693"/>
      <c r="U736" s="693"/>
      <c r="V736" s="693"/>
      <c r="W736" s="694"/>
      <c r="X736" s="153"/>
      <c r="Y736" s="194"/>
    </row>
    <row r="737" spans="1:25" ht="21.95" customHeight="1" x14ac:dyDescent="0.2">
      <c r="A737" s="301"/>
      <c r="B737" s="302"/>
      <c r="C737" s="301"/>
      <c r="D737" s="301"/>
      <c r="E737" s="301"/>
      <c r="F737" s="301"/>
      <c r="G737" s="301"/>
      <c r="H737" s="267"/>
      <c r="I737" s="695"/>
      <c r="J737" s="696"/>
      <c r="K737" s="696"/>
      <c r="L737" s="696"/>
      <c r="M737" s="696"/>
      <c r="N737" s="696"/>
      <c r="O737" s="696"/>
      <c r="P737" s="696"/>
      <c r="Q737" s="696"/>
      <c r="R737" s="696"/>
      <c r="S737" s="696"/>
      <c r="T737" s="696"/>
      <c r="U737" s="696"/>
      <c r="V737" s="696"/>
      <c r="W737" s="697"/>
      <c r="X737" s="153"/>
      <c r="Y737" s="194"/>
    </row>
    <row r="738" spans="1:25" ht="21.95" customHeight="1" x14ac:dyDescent="0.2">
      <c r="A738" s="301"/>
      <c r="B738" s="302"/>
      <c r="C738" s="301"/>
      <c r="D738" s="301"/>
      <c r="E738" s="301"/>
      <c r="F738" s="301"/>
      <c r="G738" s="301"/>
      <c r="H738" s="267"/>
      <c r="I738" s="695"/>
      <c r="J738" s="696"/>
      <c r="K738" s="696"/>
      <c r="L738" s="696"/>
      <c r="M738" s="696"/>
      <c r="N738" s="696"/>
      <c r="O738" s="696"/>
      <c r="P738" s="696"/>
      <c r="Q738" s="696"/>
      <c r="R738" s="696"/>
      <c r="S738" s="696"/>
      <c r="T738" s="696"/>
      <c r="U738" s="696"/>
      <c r="V738" s="696"/>
      <c r="W738" s="697"/>
      <c r="X738" s="153"/>
      <c r="Y738" s="194"/>
    </row>
    <row r="739" spans="1:25" ht="21.95" customHeight="1" x14ac:dyDescent="0.2">
      <c r="A739" s="301"/>
      <c r="B739" s="302"/>
      <c r="C739" s="301"/>
      <c r="D739" s="301"/>
      <c r="E739" s="301"/>
      <c r="F739" s="301"/>
      <c r="G739" s="301"/>
      <c r="H739" s="267"/>
      <c r="I739" s="695"/>
      <c r="J739" s="696"/>
      <c r="K739" s="696"/>
      <c r="L739" s="696"/>
      <c r="M739" s="696"/>
      <c r="N739" s="696"/>
      <c r="O739" s="696"/>
      <c r="P739" s="696"/>
      <c r="Q739" s="696"/>
      <c r="R739" s="696"/>
      <c r="S739" s="696"/>
      <c r="T739" s="696"/>
      <c r="U739" s="696"/>
      <c r="V739" s="696"/>
      <c r="W739" s="697"/>
      <c r="X739" s="153"/>
      <c r="Y739" s="194"/>
    </row>
    <row r="740" spans="1:25" ht="21.95" customHeight="1" x14ac:dyDescent="0.2">
      <c r="A740" s="301"/>
      <c r="B740" s="302"/>
      <c r="C740" s="301"/>
      <c r="D740" s="301"/>
      <c r="E740" s="301"/>
      <c r="F740" s="301"/>
      <c r="G740" s="301"/>
      <c r="H740" s="267"/>
      <c r="I740" s="695"/>
      <c r="J740" s="696"/>
      <c r="K740" s="696"/>
      <c r="L740" s="696"/>
      <c r="M740" s="696"/>
      <c r="N740" s="696"/>
      <c r="O740" s="696"/>
      <c r="P740" s="696"/>
      <c r="Q740" s="696"/>
      <c r="R740" s="696"/>
      <c r="S740" s="696"/>
      <c r="T740" s="696"/>
      <c r="U740" s="696"/>
      <c r="V740" s="696"/>
      <c r="W740" s="697"/>
      <c r="X740" s="153"/>
      <c r="Y740" s="194"/>
    </row>
    <row r="741" spans="1:25" ht="21.95" customHeight="1" x14ac:dyDescent="0.2">
      <c r="A741" s="301"/>
      <c r="B741" s="302"/>
      <c r="C741" s="301"/>
      <c r="D741" s="301"/>
      <c r="E741" s="301"/>
      <c r="F741" s="301"/>
      <c r="G741" s="301"/>
      <c r="H741" s="267"/>
      <c r="I741" s="695"/>
      <c r="J741" s="696"/>
      <c r="K741" s="696"/>
      <c r="L741" s="696"/>
      <c r="M741" s="696"/>
      <c r="N741" s="696"/>
      <c r="O741" s="696"/>
      <c r="P741" s="696"/>
      <c r="Q741" s="696"/>
      <c r="R741" s="696"/>
      <c r="S741" s="696"/>
      <c r="T741" s="696"/>
      <c r="U741" s="696"/>
      <c r="V741" s="696"/>
      <c r="W741" s="697"/>
      <c r="X741" s="153"/>
      <c r="Y741" s="194"/>
    </row>
    <row r="742" spans="1:25" ht="21.95" customHeight="1" x14ac:dyDescent="0.2">
      <c r="A742" s="301"/>
      <c r="B742" s="302"/>
      <c r="C742" s="301"/>
      <c r="D742" s="301"/>
      <c r="E742" s="301"/>
      <c r="F742" s="301"/>
      <c r="G742" s="301"/>
      <c r="H742" s="267"/>
      <c r="I742" s="695"/>
      <c r="J742" s="696"/>
      <c r="K742" s="696"/>
      <c r="L742" s="696"/>
      <c r="M742" s="696"/>
      <c r="N742" s="696"/>
      <c r="O742" s="696"/>
      <c r="P742" s="696"/>
      <c r="Q742" s="696"/>
      <c r="R742" s="696"/>
      <c r="S742" s="696"/>
      <c r="T742" s="696"/>
      <c r="U742" s="696"/>
      <c r="V742" s="696"/>
      <c r="W742" s="697"/>
      <c r="X742" s="153"/>
      <c r="Y742" s="194"/>
    </row>
    <row r="743" spans="1:25" ht="21.95" customHeight="1" x14ac:dyDescent="0.2">
      <c r="A743" s="301"/>
      <c r="B743" s="302"/>
      <c r="C743" s="301"/>
      <c r="D743" s="301"/>
      <c r="E743" s="301"/>
      <c r="F743" s="301"/>
      <c r="G743" s="301"/>
      <c r="H743" s="267"/>
      <c r="I743" s="695"/>
      <c r="J743" s="696"/>
      <c r="K743" s="696"/>
      <c r="L743" s="696"/>
      <c r="M743" s="696"/>
      <c r="N743" s="696"/>
      <c r="O743" s="696"/>
      <c r="P743" s="696"/>
      <c r="Q743" s="696"/>
      <c r="R743" s="696"/>
      <c r="S743" s="696"/>
      <c r="T743" s="696"/>
      <c r="U743" s="696"/>
      <c r="V743" s="696"/>
      <c r="W743" s="697"/>
      <c r="X743" s="153"/>
      <c r="Y743" s="194"/>
    </row>
    <row r="744" spans="1:25" ht="21.95" customHeight="1" x14ac:dyDescent="0.2">
      <c r="A744" s="301"/>
      <c r="B744" s="302"/>
      <c r="C744" s="301"/>
      <c r="D744" s="301"/>
      <c r="E744" s="301"/>
      <c r="F744" s="301"/>
      <c r="G744" s="301"/>
      <c r="H744" s="267"/>
      <c r="I744" s="695"/>
      <c r="J744" s="696"/>
      <c r="K744" s="696"/>
      <c r="L744" s="696"/>
      <c r="M744" s="696"/>
      <c r="N744" s="696"/>
      <c r="O744" s="696"/>
      <c r="P744" s="696"/>
      <c r="Q744" s="696"/>
      <c r="R744" s="696"/>
      <c r="S744" s="696"/>
      <c r="T744" s="696"/>
      <c r="U744" s="696"/>
      <c r="V744" s="696"/>
      <c r="W744" s="697"/>
      <c r="X744" s="153"/>
      <c r="Y744" s="194"/>
    </row>
    <row r="745" spans="1:25" ht="21.95" customHeight="1" x14ac:dyDescent="0.2">
      <c r="A745" s="301"/>
      <c r="B745" s="302"/>
      <c r="C745" s="301"/>
      <c r="D745" s="301"/>
      <c r="E745" s="301"/>
      <c r="F745" s="301"/>
      <c r="G745" s="301"/>
      <c r="H745" s="267"/>
      <c r="I745" s="698"/>
      <c r="J745" s="699"/>
      <c r="K745" s="699"/>
      <c r="L745" s="699"/>
      <c r="M745" s="699"/>
      <c r="N745" s="699"/>
      <c r="O745" s="699"/>
      <c r="P745" s="699"/>
      <c r="Q745" s="699"/>
      <c r="R745" s="699"/>
      <c r="S745" s="699"/>
      <c r="T745" s="699"/>
      <c r="U745" s="699"/>
      <c r="V745" s="699"/>
      <c r="W745" s="700"/>
      <c r="X745" s="153"/>
      <c r="Y745" s="194"/>
    </row>
    <row r="746" spans="1:25" ht="21.95" customHeight="1" x14ac:dyDescent="0.2">
      <c r="A746" s="301"/>
      <c r="B746" s="302"/>
      <c r="C746" s="301"/>
      <c r="D746" s="301"/>
      <c r="E746" s="301"/>
      <c r="F746" s="301"/>
      <c r="G746" s="301"/>
      <c r="H746" s="266" t="str">
        <f>IF($B$532=3,"Y","")</f>
        <v/>
      </c>
      <c r="I746" s="473" t="s">
        <v>3338</v>
      </c>
      <c r="J746" s="474"/>
      <c r="K746" s="474"/>
      <c r="L746" s="474"/>
      <c r="M746" s="474"/>
      <c r="N746" s="474"/>
      <c r="O746" s="474"/>
      <c r="P746" s="474"/>
      <c r="Q746" s="474"/>
      <c r="R746" s="474"/>
      <c r="S746" s="474"/>
      <c r="T746" s="474"/>
      <c r="U746" s="474"/>
      <c r="V746" s="474"/>
      <c r="W746" s="474"/>
      <c r="X746" s="153"/>
      <c r="Y746" s="194"/>
    </row>
    <row r="747" spans="1:25" ht="21.95" customHeight="1" x14ac:dyDescent="0.2">
      <c r="A747" s="301"/>
      <c r="B747" s="302"/>
      <c r="C747" s="301"/>
      <c r="D747" s="301"/>
      <c r="E747" s="301"/>
      <c r="F747" s="301"/>
      <c r="G747" s="301"/>
      <c r="H747" s="215"/>
      <c r="I747" s="194"/>
      <c r="J747" s="153"/>
      <c r="K747" s="194"/>
      <c r="L747" s="153"/>
      <c r="M747" s="194"/>
      <c r="N747" s="153"/>
      <c r="O747" s="194"/>
      <c r="P747" s="153"/>
      <c r="Q747" s="194"/>
      <c r="R747" s="153"/>
      <c r="S747" s="194"/>
      <c r="T747" s="153"/>
      <c r="U747" s="194"/>
      <c r="V747" s="153"/>
      <c r="W747" s="194"/>
      <c r="X747" s="153"/>
      <c r="Y747" s="194"/>
    </row>
    <row r="748" spans="1:25" ht="21.95" customHeight="1" thickBot="1" x14ac:dyDescent="0.25">
      <c r="A748" s="301"/>
      <c r="B748" s="302"/>
      <c r="C748" s="301"/>
      <c r="D748" s="301"/>
      <c r="E748" s="301"/>
      <c r="F748" s="301"/>
      <c r="G748" s="301"/>
      <c r="H748" s="215"/>
      <c r="I748" s="424" t="str">
        <f>B477</f>
        <v>Project Readiness (Maximum Points: 7)</v>
      </c>
      <c r="J748" s="269"/>
      <c r="K748" s="269"/>
      <c r="L748" s="269"/>
      <c r="M748" s="269"/>
      <c r="N748" s="269"/>
      <c r="O748" s="269"/>
      <c r="P748" s="269"/>
      <c r="Q748" s="269"/>
      <c r="R748" s="269"/>
      <c r="S748" s="269"/>
      <c r="T748" s="269"/>
      <c r="U748" s="269"/>
      <c r="V748" s="269"/>
      <c r="W748" s="269"/>
      <c r="X748" s="167" t="str">
        <f ca="1">"Status: "&amp;$B$511</f>
        <v>Status: Not Started</v>
      </c>
      <c r="Y748" s="194"/>
    </row>
    <row r="749" spans="1:25" ht="21" customHeight="1" x14ac:dyDescent="0.2">
      <c r="A749" s="301"/>
      <c r="B749" s="302"/>
      <c r="C749" s="301"/>
      <c r="D749" s="301"/>
      <c r="E749" s="301"/>
      <c r="F749" s="301"/>
      <c r="G749" s="301"/>
      <c r="H749" s="215"/>
      <c r="I749" s="194"/>
      <c r="J749" s="153"/>
      <c r="K749" s="194"/>
      <c r="L749" s="153"/>
      <c r="M749" s="194"/>
      <c r="N749" s="153"/>
      <c r="O749" s="194"/>
      <c r="P749" s="153"/>
      <c r="Q749" s="194"/>
      <c r="R749" s="153"/>
      <c r="S749" s="194"/>
      <c r="T749" s="153"/>
      <c r="U749" s="194"/>
      <c r="V749" s="153"/>
      <c r="W749" s="194"/>
      <c r="X749" s="153"/>
      <c r="Y749" s="194"/>
    </row>
    <row r="750" spans="1:25" ht="21.95" customHeight="1" x14ac:dyDescent="0.2">
      <c r="A750" s="301"/>
      <c r="B750" s="302"/>
      <c r="C750" s="301"/>
      <c r="D750" s="301"/>
      <c r="E750" s="301"/>
      <c r="F750" s="301"/>
      <c r="G750" s="301"/>
      <c r="H750" s="215"/>
      <c r="I750" s="563" t="s">
        <v>3478</v>
      </c>
      <c r="J750" s="563"/>
      <c r="K750" s="563"/>
      <c r="L750" s="563"/>
      <c r="M750" s="563"/>
      <c r="N750" s="563"/>
      <c r="O750" s="563"/>
      <c r="P750" s="563"/>
      <c r="Q750" s="563"/>
      <c r="R750" s="563"/>
      <c r="S750" s="563"/>
      <c r="T750" s="563"/>
      <c r="U750" s="563"/>
      <c r="V750" s="563"/>
      <c r="W750" s="563"/>
      <c r="X750" s="153"/>
      <c r="Y750" s="194"/>
    </row>
    <row r="751" spans="1:25" ht="21.95" customHeight="1" x14ac:dyDescent="0.2">
      <c r="A751" s="301"/>
      <c r="B751" s="302"/>
      <c r="C751" s="301"/>
      <c r="D751" s="301"/>
      <c r="E751" s="301"/>
      <c r="F751" s="301"/>
      <c r="G751" s="301"/>
      <c r="H751" s="215"/>
      <c r="I751" s="563"/>
      <c r="J751" s="563"/>
      <c r="K751" s="563"/>
      <c r="L751" s="563"/>
      <c r="M751" s="563"/>
      <c r="N751" s="563"/>
      <c r="O751" s="563"/>
      <c r="P751" s="563"/>
      <c r="Q751" s="563"/>
      <c r="R751" s="563"/>
      <c r="S751" s="563"/>
      <c r="T751" s="563"/>
      <c r="U751" s="563"/>
      <c r="V751" s="563"/>
      <c r="W751" s="563"/>
      <c r="X751" s="153"/>
      <c r="Y751" s="194"/>
    </row>
    <row r="752" spans="1:25" ht="21.95" customHeight="1" x14ac:dyDescent="0.2">
      <c r="A752" s="301"/>
      <c r="B752" s="302"/>
      <c r="C752" s="301"/>
      <c r="D752" s="301"/>
      <c r="E752" s="301"/>
      <c r="F752" s="301"/>
      <c r="G752" s="301"/>
      <c r="H752" s="215"/>
      <c r="I752" s="243"/>
      <c r="J752" s="243"/>
      <c r="K752" s="243"/>
      <c r="L752" s="243"/>
      <c r="M752" s="243"/>
      <c r="N752" s="243"/>
      <c r="O752" s="243"/>
      <c r="P752" s="243"/>
      <c r="Q752" s="243"/>
      <c r="R752" s="243"/>
      <c r="S752" s="243"/>
      <c r="T752" s="243"/>
      <c r="U752" s="243"/>
      <c r="V752" s="243"/>
      <c r="W752" s="243"/>
      <c r="X752" s="153"/>
      <c r="Y752" s="194"/>
    </row>
    <row r="753" spans="1:25" ht="21.95" customHeight="1" x14ac:dyDescent="0.2">
      <c r="A753" s="301"/>
      <c r="B753" s="302"/>
      <c r="C753" s="301"/>
      <c r="D753" s="301"/>
      <c r="E753" s="301"/>
      <c r="F753" s="301"/>
      <c r="G753" s="301"/>
      <c r="H753" s="215"/>
      <c r="I753" s="226" t="s">
        <v>3476</v>
      </c>
      <c r="J753" s="153"/>
      <c r="K753" s="194"/>
      <c r="L753" s="153"/>
      <c r="M753" s="194"/>
      <c r="N753" s="153"/>
      <c r="O753" s="194"/>
      <c r="P753" s="153"/>
      <c r="Q753" s="194"/>
      <c r="R753" s="153"/>
      <c r="S753" s="194"/>
      <c r="T753" s="153"/>
      <c r="U753" s="194"/>
      <c r="V753" s="153"/>
      <c r="W753" s="316"/>
      <c r="X753" s="165" t="str">
        <f ca="1">G478</f>
        <v/>
      </c>
      <c r="Y753" s="194"/>
    </row>
    <row r="754" spans="1:25" ht="21.95" customHeight="1" x14ac:dyDescent="0.2">
      <c r="A754" s="301"/>
      <c r="B754" s="302"/>
      <c r="C754" s="301"/>
      <c r="D754" s="301"/>
      <c r="E754" s="301"/>
      <c r="F754" s="301"/>
      <c r="G754" s="301"/>
      <c r="H754" s="215"/>
      <c r="I754" s="194"/>
      <c r="J754" s="153"/>
      <c r="K754" s="194"/>
      <c r="L754" s="153"/>
      <c r="M754" s="194"/>
      <c r="N754" s="153"/>
      <c r="O754" s="194"/>
      <c r="P754" s="153"/>
      <c r="Q754" s="194"/>
      <c r="R754" s="153"/>
      <c r="S754" s="194"/>
      <c r="T754" s="153"/>
      <c r="U754" s="194"/>
      <c r="V754" s="153"/>
      <c r="W754" s="194"/>
      <c r="X754" s="153"/>
      <c r="Y754" s="194"/>
    </row>
    <row r="755" spans="1:25" ht="21.95" customHeight="1" thickBot="1" x14ac:dyDescent="0.25">
      <c r="A755" s="301"/>
      <c r="B755" s="302"/>
      <c r="C755" s="301"/>
      <c r="D755" s="301"/>
      <c r="E755" s="301"/>
      <c r="F755" s="301"/>
      <c r="G755" s="301"/>
      <c r="H755" s="215"/>
      <c r="I755" s="216" t="s">
        <v>3370</v>
      </c>
      <c r="J755" s="217"/>
      <c r="K755" s="223"/>
      <c r="L755" s="217"/>
      <c r="M755" s="223"/>
      <c r="N755" s="217"/>
      <c r="O755" s="223"/>
      <c r="P755" s="217"/>
      <c r="Q755" s="255"/>
      <c r="R755" s="217"/>
      <c r="S755" s="223"/>
      <c r="T755" s="217"/>
      <c r="U755" s="223"/>
      <c r="V755" s="217"/>
      <c r="W755" s="223"/>
      <c r="X755" s="140"/>
      <c r="Y755" s="194"/>
    </row>
    <row r="756" spans="1:25" ht="21.95" customHeight="1" thickTop="1" x14ac:dyDescent="0.2">
      <c r="A756" s="301"/>
      <c r="B756" s="302"/>
      <c r="C756" s="301"/>
      <c r="D756" s="301"/>
      <c r="E756" s="301"/>
      <c r="F756" s="301"/>
      <c r="G756" s="301"/>
      <c r="H756" s="215"/>
      <c r="I756" s="544" t="s">
        <v>3494</v>
      </c>
      <c r="J756" s="545"/>
      <c r="K756" s="545"/>
      <c r="L756" s="545"/>
      <c r="M756" s="545"/>
      <c r="N756" s="545"/>
      <c r="O756" s="545"/>
      <c r="P756" s="545"/>
      <c r="Q756" s="545"/>
      <c r="R756" s="545"/>
      <c r="S756" s="545"/>
      <c r="T756" s="545"/>
      <c r="U756" s="545"/>
      <c r="V756" s="545"/>
      <c r="W756" s="545"/>
      <c r="X756" s="259"/>
      <c r="Y756" s="194"/>
    </row>
    <row r="757" spans="1:25" ht="21.95" customHeight="1" x14ac:dyDescent="0.2">
      <c r="A757" s="301"/>
      <c r="B757" s="302"/>
      <c r="C757" s="301"/>
      <c r="D757" s="301"/>
      <c r="E757" s="301"/>
      <c r="F757" s="301"/>
      <c r="G757" s="301"/>
      <c r="H757" s="215"/>
      <c r="I757" s="546"/>
      <c r="J757" s="546"/>
      <c r="K757" s="546"/>
      <c r="L757" s="546"/>
      <c r="M757" s="546"/>
      <c r="N757" s="546"/>
      <c r="O757" s="546"/>
      <c r="P757" s="546"/>
      <c r="Q757" s="546"/>
      <c r="R757" s="546"/>
      <c r="S757" s="546"/>
      <c r="T757" s="546"/>
      <c r="U757" s="546"/>
      <c r="V757" s="546"/>
      <c r="W757" s="546"/>
      <c r="X757" s="247"/>
      <c r="Y757" s="194"/>
    </row>
    <row r="758" spans="1:25" ht="21.95" customHeight="1" x14ac:dyDescent="0.2">
      <c r="A758" s="301"/>
      <c r="B758" s="302"/>
      <c r="C758" s="301"/>
      <c r="D758" s="301"/>
      <c r="E758" s="301"/>
      <c r="F758" s="301"/>
      <c r="G758" s="301"/>
      <c r="H758" s="215"/>
      <c r="I758" s="194"/>
      <c r="J758" s="153"/>
      <c r="K758" s="194"/>
      <c r="L758" s="153"/>
      <c r="M758" s="194"/>
      <c r="N758" s="153"/>
      <c r="O758" s="194"/>
      <c r="P758" s="153"/>
      <c r="Q758" s="194"/>
      <c r="R758" s="153"/>
      <c r="S758" s="194"/>
      <c r="T758" s="153"/>
      <c r="U758" s="194"/>
      <c r="V758" s="153"/>
      <c r="W758" s="194"/>
      <c r="X758" s="153"/>
      <c r="Y758" s="194"/>
    </row>
    <row r="759" spans="1:25" ht="21.95" customHeight="1" x14ac:dyDescent="0.2">
      <c r="A759" s="301"/>
      <c r="B759" s="302"/>
      <c r="C759" s="301"/>
      <c r="D759" s="301"/>
      <c r="E759" s="301"/>
      <c r="F759" s="301"/>
      <c r="G759" s="301"/>
      <c r="H759" s="215"/>
      <c r="I759" s="260" t="s">
        <v>3238</v>
      </c>
      <c r="J759" s="260"/>
      <c r="K759" s="260"/>
      <c r="L759" s="260"/>
      <c r="M759" s="260"/>
      <c r="N759" s="260"/>
      <c r="O759" s="260"/>
      <c r="P759" s="260"/>
      <c r="Q759" s="261"/>
      <c r="R759" s="262"/>
      <c r="S759" s="261"/>
      <c r="T759" s="262"/>
      <c r="U759" s="261"/>
      <c r="V759" s="262"/>
      <c r="W759" s="261"/>
      <c r="X759" s="153"/>
      <c r="Y759" s="194"/>
    </row>
    <row r="760" spans="1:25" ht="21.95" customHeight="1" x14ac:dyDescent="0.2">
      <c r="A760" s="301"/>
      <c r="B760" s="302"/>
      <c r="C760" s="301"/>
      <c r="D760" s="301"/>
      <c r="E760" s="301"/>
      <c r="F760" s="301"/>
      <c r="G760" s="301"/>
      <c r="H760" s="215"/>
      <c r="I760" s="204" t="s">
        <v>3459</v>
      </c>
      <c r="J760" s="140"/>
      <c r="K760" s="225"/>
      <c r="L760" s="140"/>
      <c r="M760" s="215"/>
      <c r="N760" s="140"/>
      <c r="O760" s="215"/>
      <c r="P760" s="153"/>
      <c r="Q760" s="204" t="s">
        <v>3611</v>
      </c>
      <c r="R760" s="140"/>
      <c r="S760" s="225"/>
      <c r="T760" s="140"/>
      <c r="U760" s="215"/>
      <c r="V760" s="153"/>
      <c r="W760" s="215"/>
      <c r="X760" s="153"/>
      <c r="Y760" s="194"/>
    </row>
    <row r="761" spans="1:25" ht="21.95" customHeight="1" x14ac:dyDescent="0.2">
      <c r="A761" s="301"/>
      <c r="B761" s="302"/>
      <c r="C761" s="301"/>
      <c r="D761" s="301"/>
      <c r="E761" s="301"/>
      <c r="F761" s="301"/>
      <c r="G761" s="301"/>
      <c r="H761" s="215"/>
      <c r="I761" s="513"/>
      <c r="J761" s="514"/>
      <c r="K761" s="514"/>
      <c r="L761" s="514"/>
      <c r="M761" s="514"/>
      <c r="N761" s="514"/>
      <c r="O761" s="514"/>
      <c r="P761" s="165">
        <f ca="1">G479</f>
        <v>1</v>
      </c>
      <c r="Q761" s="466"/>
      <c r="R761" s="467"/>
      <c r="S761" s="467"/>
      <c r="T761" s="467"/>
      <c r="U761" s="467"/>
      <c r="V761" s="467"/>
      <c r="W761" s="468"/>
      <c r="X761" s="165" t="str">
        <f ca="1">G480</f>
        <v/>
      </c>
      <c r="Y761" s="194"/>
    </row>
    <row r="762" spans="1:25" ht="21.95" customHeight="1" x14ac:dyDescent="0.2">
      <c r="A762" s="301"/>
      <c r="B762" s="302"/>
      <c r="C762" s="301"/>
      <c r="D762" s="301"/>
      <c r="E762" s="301"/>
      <c r="F762" s="301"/>
      <c r="G762" s="301"/>
      <c r="H762" s="215"/>
      <c r="I762" s="538" t="str">
        <f ca="1">D479</f>
        <v/>
      </c>
      <c r="J762" s="543"/>
      <c r="K762" s="543"/>
      <c r="L762" s="543"/>
      <c r="M762" s="543"/>
      <c r="N762" s="543"/>
      <c r="O762" s="543"/>
      <c r="P762" s="153"/>
      <c r="Q762" s="712" t="s">
        <v>3612</v>
      </c>
      <c r="R762" s="712"/>
      <c r="S762" s="712"/>
      <c r="T762" s="712"/>
      <c r="U762" s="712"/>
      <c r="V762" s="712"/>
      <c r="W762" s="712"/>
      <c r="X762" s="153"/>
      <c r="Y762" s="194"/>
    </row>
    <row r="763" spans="1:25" ht="21.95" customHeight="1" x14ac:dyDescent="0.2">
      <c r="A763" s="301"/>
      <c r="B763" s="302"/>
      <c r="C763" s="301"/>
      <c r="D763" s="301"/>
      <c r="E763" s="301"/>
      <c r="F763" s="301"/>
      <c r="G763" s="301"/>
      <c r="H763" s="215"/>
      <c r="I763" s="215"/>
      <c r="J763" s="215"/>
      <c r="K763" s="215"/>
      <c r="L763" s="215"/>
      <c r="M763" s="215"/>
      <c r="N763" s="215"/>
      <c r="O763" s="215"/>
      <c r="P763" s="153"/>
      <c r="Q763" s="713"/>
      <c r="R763" s="713"/>
      <c r="S763" s="713"/>
      <c r="T763" s="713"/>
      <c r="U763" s="713"/>
      <c r="V763" s="713"/>
      <c r="W763" s="713"/>
      <c r="X763" s="153"/>
      <c r="Y763" s="194"/>
    </row>
    <row r="764" spans="1:25" ht="21.95" customHeight="1" x14ac:dyDescent="0.2">
      <c r="A764" s="301"/>
      <c r="B764" s="302"/>
      <c r="C764" s="301"/>
      <c r="D764" s="301"/>
      <c r="E764" s="301"/>
      <c r="F764" s="301"/>
      <c r="G764" s="301"/>
      <c r="H764" s="215"/>
      <c r="I764" s="204" t="s">
        <v>3230</v>
      </c>
      <c r="J764" s="140"/>
      <c r="K764" s="202"/>
      <c r="L764" s="140"/>
      <c r="M764" s="202"/>
      <c r="N764" s="140"/>
      <c r="O764" s="202"/>
      <c r="P764" s="140"/>
      <c r="Q764" s="204" t="s">
        <v>3231</v>
      </c>
      <c r="R764" s="140"/>
      <c r="S764" s="202"/>
      <c r="T764" s="140"/>
      <c r="U764" s="202"/>
      <c r="V764" s="140"/>
      <c r="W764" s="202"/>
      <c r="X764" s="140"/>
      <c r="Y764" s="194"/>
    </row>
    <row r="765" spans="1:25" ht="21.95" customHeight="1" x14ac:dyDescent="0.2">
      <c r="A765" s="301"/>
      <c r="B765" s="302"/>
      <c r="C765" s="301"/>
      <c r="D765" s="301"/>
      <c r="E765" s="301"/>
      <c r="F765" s="301"/>
      <c r="G765" s="301"/>
      <c r="H765" s="215"/>
      <c r="I765" s="743"/>
      <c r="J765" s="674"/>
      <c r="K765" s="674"/>
      <c r="L765" s="674"/>
      <c r="M765" s="674"/>
      <c r="N765" s="674"/>
      <c r="O765" s="674"/>
      <c r="P765" s="165" t="str">
        <f ca="1">G481</f>
        <v/>
      </c>
      <c r="Q765" s="673"/>
      <c r="R765" s="674"/>
      <c r="S765" s="674"/>
      <c r="T765" s="674"/>
      <c r="U765" s="674"/>
      <c r="V765" s="674"/>
      <c r="W765" s="674"/>
      <c r="X765" s="165" t="str">
        <f ca="1">G482</f>
        <v/>
      </c>
      <c r="Y765" s="194"/>
    </row>
    <row r="766" spans="1:25" ht="21.95" customHeight="1" x14ac:dyDescent="0.2">
      <c r="A766" s="301"/>
      <c r="B766" s="302"/>
      <c r="C766" s="301"/>
      <c r="D766" s="301"/>
      <c r="E766" s="301"/>
      <c r="F766" s="301"/>
      <c r="G766" s="301"/>
      <c r="H766" s="215"/>
      <c r="I766" s="204" t="s">
        <v>3232</v>
      </c>
      <c r="J766" s="140"/>
      <c r="K766" s="202"/>
      <c r="L766" s="140"/>
      <c r="M766" s="215"/>
      <c r="N766" s="153"/>
      <c r="O766" s="215"/>
      <c r="P766" s="153"/>
      <c r="Q766" s="204" t="s">
        <v>3460</v>
      </c>
      <c r="R766" s="140"/>
      <c r="S766" s="202"/>
      <c r="T766" s="140"/>
      <c r="U766" s="215"/>
      <c r="V766" s="153"/>
      <c r="W766" s="215"/>
      <c r="X766" s="153"/>
      <c r="Y766" s="194"/>
    </row>
    <row r="767" spans="1:25" ht="21.95" customHeight="1" x14ac:dyDescent="0.2">
      <c r="A767" s="301"/>
      <c r="B767" s="302"/>
      <c r="C767" s="301"/>
      <c r="D767" s="301"/>
      <c r="E767" s="301"/>
      <c r="F767" s="301"/>
      <c r="G767" s="301"/>
      <c r="H767" s="215"/>
      <c r="I767" s="671"/>
      <c r="J767" s="672"/>
      <c r="K767" s="672"/>
      <c r="L767" s="672"/>
      <c r="M767" s="672"/>
      <c r="N767" s="672"/>
      <c r="O767" s="672"/>
      <c r="P767" s="165" t="str">
        <f ca="1">G483</f>
        <v/>
      </c>
      <c r="Q767" s="596"/>
      <c r="R767" s="597"/>
      <c r="S767" s="597"/>
      <c r="T767" s="597"/>
      <c r="U767" s="597"/>
      <c r="V767" s="597"/>
      <c r="W767" s="597"/>
      <c r="X767" s="165" t="str">
        <f ca="1">G484</f>
        <v/>
      </c>
      <c r="Y767" s="194"/>
    </row>
    <row r="768" spans="1:25" ht="21.95" customHeight="1" x14ac:dyDescent="0.2">
      <c r="A768" s="301"/>
      <c r="B768" s="302"/>
      <c r="C768" s="301"/>
      <c r="D768" s="301"/>
      <c r="E768" s="301"/>
      <c r="F768" s="301"/>
      <c r="G768" s="301"/>
      <c r="H768" s="215"/>
      <c r="I768" s="215"/>
      <c r="J768" s="153"/>
      <c r="K768" s="215"/>
      <c r="L768" s="153"/>
      <c r="M768" s="215"/>
      <c r="N768" s="153"/>
      <c r="O768" s="215"/>
      <c r="P768" s="153"/>
      <c r="Q768" s="215"/>
      <c r="R768" s="153"/>
      <c r="S768" s="215"/>
      <c r="T768" s="153"/>
      <c r="U768" s="215"/>
      <c r="V768" s="153"/>
      <c r="W768" s="215"/>
      <c r="X768" s="153"/>
      <c r="Y768" s="194"/>
    </row>
    <row r="769" spans="1:25" ht="21.95" customHeight="1" x14ac:dyDescent="0.2">
      <c r="A769" s="301"/>
      <c r="B769" s="302"/>
      <c r="C769" s="301"/>
      <c r="D769" s="301"/>
      <c r="E769" s="301"/>
      <c r="F769" s="301"/>
      <c r="G769" s="301"/>
      <c r="H769" s="215"/>
      <c r="I769" s="455" t="s">
        <v>3233</v>
      </c>
      <c r="J769" s="660"/>
      <c r="K769" s="660"/>
      <c r="L769" s="660"/>
      <c r="M769" s="660"/>
      <c r="N769" s="660"/>
      <c r="O769" s="660"/>
      <c r="P769" s="660"/>
      <c r="Q769" s="660"/>
      <c r="R769" s="660"/>
      <c r="S769" s="660"/>
      <c r="T769" s="660"/>
      <c r="U769" s="660"/>
      <c r="V769" s="153"/>
      <c r="W769" s="212"/>
      <c r="X769" s="165" t="str">
        <f ca="1">G485</f>
        <v/>
      </c>
      <c r="Y769" s="194"/>
    </row>
    <row r="770" spans="1:25" ht="21.95" customHeight="1" x14ac:dyDescent="0.2">
      <c r="A770" s="301"/>
      <c r="B770" s="302"/>
      <c r="C770" s="301"/>
      <c r="D770" s="301"/>
      <c r="E770" s="301"/>
      <c r="F770" s="301"/>
      <c r="G770" s="301"/>
      <c r="H770" s="215"/>
      <c r="I770" s="660"/>
      <c r="J770" s="660"/>
      <c r="K770" s="660"/>
      <c r="L770" s="660"/>
      <c r="M770" s="660"/>
      <c r="N770" s="660"/>
      <c r="O770" s="660"/>
      <c r="P770" s="660"/>
      <c r="Q770" s="660"/>
      <c r="R770" s="660"/>
      <c r="S770" s="660"/>
      <c r="T770" s="660"/>
      <c r="U770" s="660"/>
      <c r="V770" s="153"/>
      <c r="W770" s="215"/>
      <c r="X770" s="153"/>
      <c r="Y770" s="194"/>
    </row>
    <row r="771" spans="1:25" ht="21.95" customHeight="1" x14ac:dyDescent="0.2">
      <c r="A771" s="301"/>
      <c r="B771" s="302"/>
      <c r="C771" s="301"/>
      <c r="D771" s="301"/>
      <c r="E771" s="301"/>
      <c r="F771" s="301"/>
      <c r="G771" s="301"/>
      <c r="H771" s="215"/>
      <c r="I771" s="312" t="s">
        <v>3499</v>
      </c>
      <c r="J771" s="313"/>
      <c r="K771" s="313"/>
      <c r="L771" s="313"/>
      <c r="M771" s="313"/>
      <c r="N771" s="313"/>
      <c r="O771" s="313"/>
      <c r="P771" s="313"/>
      <c r="Q771" s="313"/>
      <c r="R771" s="313"/>
      <c r="S771" s="313"/>
      <c r="T771" s="313"/>
      <c r="U771" s="313"/>
      <c r="V771" s="313"/>
      <c r="W771" s="175" t="str">
        <f>SUBSTITUTE(SUBSTITUTE(SUBSTITUTE(IF(LEN(B486)&gt;F486,CONFIG_CHAR_LIMIT_TEMPLATE_ERR,CONFIG_CHAR_LIMIT_TEMPLATE),"[diff]",ABS(LEN(B486)-F486)),"[limit]",F486),"[used]",LEN(B486))</f>
        <v>1000 character(s) remaining</v>
      </c>
      <c r="X771" s="153"/>
      <c r="Y771" s="194"/>
    </row>
    <row r="772" spans="1:25" ht="21.95" customHeight="1" x14ac:dyDescent="0.2">
      <c r="A772" s="301"/>
      <c r="B772" s="302"/>
      <c r="C772" s="301"/>
      <c r="D772" s="301"/>
      <c r="E772" s="301"/>
      <c r="F772" s="301"/>
      <c r="G772" s="301"/>
      <c r="H772" s="215"/>
      <c r="I772" s="500"/>
      <c r="J772" s="501"/>
      <c r="K772" s="501"/>
      <c r="L772" s="501"/>
      <c r="M772" s="501"/>
      <c r="N772" s="501"/>
      <c r="O772" s="501"/>
      <c r="P772" s="501"/>
      <c r="Q772" s="501"/>
      <c r="R772" s="501"/>
      <c r="S772" s="501"/>
      <c r="T772" s="501"/>
      <c r="U772" s="501"/>
      <c r="V772" s="501"/>
      <c r="W772" s="502"/>
      <c r="X772" s="165" t="str">
        <f ca="1">G486</f>
        <v/>
      </c>
      <c r="Y772" s="194"/>
    </row>
    <row r="773" spans="1:25" ht="21.95" customHeight="1" x14ac:dyDescent="0.2">
      <c r="A773" s="301"/>
      <c r="B773" s="302"/>
      <c r="C773" s="301"/>
      <c r="D773" s="301"/>
      <c r="E773" s="301"/>
      <c r="F773" s="301"/>
      <c r="G773" s="301"/>
      <c r="H773" s="215"/>
      <c r="I773" s="503"/>
      <c r="J773" s="504"/>
      <c r="K773" s="504"/>
      <c r="L773" s="504"/>
      <c r="M773" s="504"/>
      <c r="N773" s="504"/>
      <c r="O773" s="504"/>
      <c r="P773" s="504"/>
      <c r="Q773" s="504"/>
      <c r="R773" s="504"/>
      <c r="S773" s="504"/>
      <c r="T773" s="504"/>
      <c r="U773" s="504"/>
      <c r="V773" s="504"/>
      <c r="W773" s="505"/>
      <c r="X773" s="153"/>
      <c r="Y773" s="194"/>
    </row>
    <row r="774" spans="1:25" ht="21.95" customHeight="1" x14ac:dyDescent="0.2">
      <c r="A774" s="301"/>
      <c r="B774" s="302"/>
      <c r="C774" s="301"/>
      <c r="D774" s="301"/>
      <c r="E774" s="301"/>
      <c r="F774" s="301"/>
      <c r="G774" s="301"/>
      <c r="H774" s="215"/>
      <c r="I774" s="506"/>
      <c r="J774" s="507"/>
      <c r="K774" s="507"/>
      <c r="L774" s="507"/>
      <c r="M774" s="507"/>
      <c r="N774" s="507"/>
      <c r="O774" s="507"/>
      <c r="P774" s="507"/>
      <c r="Q774" s="507"/>
      <c r="R774" s="507"/>
      <c r="S774" s="507"/>
      <c r="T774" s="507"/>
      <c r="U774" s="507"/>
      <c r="V774" s="507"/>
      <c r="W774" s="508"/>
      <c r="X774" s="153"/>
      <c r="Y774" s="194"/>
    </row>
    <row r="775" spans="1:25" ht="21.95" customHeight="1" x14ac:dyDescent="0.2">
      <c r="A775" s="301"/>
      <c r="B775" s="302"/>
      <c r="C775" s="301"/>
      <c r="D775" s="301"/>
      <c r="E775" s="301"/>
      <c r="F775" s="301"/>
      <c r="G775" s="301"/>
      <c r="H775" s="215"/>
      <c r="I775" s="215"/>
      <c r="J775" s="235"/>
      <c r="K775" s="235"/>
      <c r="L775" s="235"/>
      <c r="M775" s="235"/>
      <c r="N775" s="235"/>
      <c r="O775" s="235"/>
      <c r="P775" s="235"/>
      <c r="Q775" s="235"/>
      <c r="R775" s="235"/>
      <c r="S775" s="235"/>
      <c r="T775" s="235"/>
      <c r="U775" s="215"/>
      <c r="V775" s="153"/>
      <c r="W775" s="215"/>
      <c r="X775" s="153"/>
      <c r="Y775" s="194"/>
    </row>
    <row r="776" spans="1:25" ht="21.95" customHeight="1" x14ac:dyDescent="0.2">
      <c r="A776" s="301"/>
      <c r="B776" s="302"/>
      <c r="C776" s="301"/>
      <c r="D776" s="301"/>
      <c r="E776" s="301"/>
      <c r="F776" s="301"/>
      <c r="G776" s="301"/>
      <c r="H776" s="215"/>
      <c r="I776" s="260" t="s">
        <v>3239</v>
      </c>
      <c r="J776" s="260"/>
      <c r="K776" s="260"/>
      <c r="L776" s="260"/>
      <c r="M776" s="260"/>
      <c r="N776" s="260"/>
      <c r="O776" s="260"/>
      <c r="P776" s="260"/>
      <c r="Q776" s="261"/>
      <c r="R776" s="262"/>
      <c r="S776" s="261"/>
      <c r="T776" s="262"/>
      <c r="U776" s="261"/>
      <c r="V776" s="262"/>
      <c r="W776" s="261"/>
      <c r="X776" s="153"/>
      <c r="Y776" s="194"/>
    </row>
    <row r="777" spans="1:25" ht="21.95" customHeight="1" x14ac:dyDescent="0.2">
      <c r="A777" s="301"/>
      <c r="B777" s="302"/>
      <c r="C777" s="301"/>
      <c r="D777" s="301"/>
      <c r="E777" s="301"/>
      <c r="F777" s="301"/>
      <c r="G777" s="301"/>
      <c r="H777" s="215"/>
      <c r="I777" s="204" t="s">
        <v>3461</v>
      </c>
      <c r="J777" s="140"/>
      <c r="K777" s="225"/>
      <c r="L777" s="140"/>
      <c r="M777" s="215"/>
      <c r="N777" s="140"/>
      <c r="O777" s="215"/>
      <c r="P777" s="153"/>
      <c r="Q777" s="204" t="s">
        <v>3611</v>
      </c>
      <c r="R777" s="140"/>
      <c r="S777" s="225"/>
      <c r="T777" s="140"/>
      <c r="U777" s="215"/>
      <c r="V777" s="153"/>
      <c r="W777" s="215"/>
      <c r="X777" s="153"/>
      <c r="Y777" s="194"/>
    </row>
    <row r="778" spans="1:25" ht="21.95" customHeight="1" x14ac:dyDescent="0.2">
      <c r="A778" s="301"/>
      <c r="B778" s="302"/>
      <c r="C778" s="301"/>
      <c r="D778" s="301"/>
      <c r="E778" s="301"/>
      <c r="F778" s="301"/>
      <c r="G778" s="301"/>
      <c r="H778" s="215"/>
      <c r="I778" s="513"/>
      <c r="J778" s="514"/>
      <c r="K778" s="514"/>
      <c r="L778" s="514"/>
      <c r="M778" s="514"/>
      <c r="N778" s="514"/>
      <c r="O778" s="514"/>
      <c r="P778" s="165">
        <f ca="1">G489</f>
        <v>1</v>
      </c>
      <c r="Q778" s="466"/>
      <c r="R778" s="467"/>
      <c r="S778" s="467"/>
      <c r="T778" s="467"/>
      <c r="U778" s="467"/>
      <c r="V778" s="467"/>
      <c r="W778" s="468"/>
      <c r="X778" s="165" t="str">
        <f ca="1">G490</f>
        <v/>
      </c>
      <c r="Y778" s="194"/>
    </row>
    <row r="779" spans="1:25" ht="21.95" customHeight="1" x14ac:dyDescent="0.2">
      <c r="A779" s="301"/>
      <c r="B779" s="302"/>
      <c r="C779" s="301"/>
      <c r="D779" s="301"/>
      <c r="E779" s="301"/>
      <c r="F779" s="301"/>
      <c r="G779" s="301"/>
      <c r="H779" s="215"/>
      <c r="I779" s="538" t="str">
        <f ca="1">D489</f>
        <v/>
      </c>
      <c r="J779" s="543"/>
      <c r="K779" s="543"/>
      <c r="L779" s="543"/>
      <c r="M779" s="543"/>
      <c r="N779" s="543"/>
      <c r="O779" s="543"/>
      <c r="P779" s="153"/>
      <c r="Q779" s="712" t="s">
        <v>3612</v>
      </c>
      <c r="R779" s="712"/>
      <c r="S779" s="712"/>
      <c r="T779" s="712"/>
      <c r="U779" s="712"/>
      <c r="V779" s="712"/>
      <c r="W779" s="712"/>
      <c r="X779" s="153"/>
      <c r="Y779" s="194"/>
    </row>
    <row r="780" spans="1:25" ht="21.95" customHeight="1" x14ac:dyDescent="0.2">
      <c r="A780" s="301"/>
      <c r="B780" s="302"/>
      <c r="C780" s="301"/>
      <c r="D780" s="301"/>
      <c r="E780" s="301"/>
      <c r="F780" s="301"/>
      <c r="G780" s="301"/>
      <c r="H780" s="215"/>
      <c r="I780" s="202"/>
      <c r="J780" s="202"/>
      <c r="K780" s="202"/>
      <c r="L780" s="202"/>
      <c r="M780" s="202"/>
      <c r="N780" s="202"/>
      <c r="O780" s="202"/>
      <c r="P780" s="153"/>
      <c r="Q780" s="713"/>
      <c r="R780" s="713"/>
      <c r="S780" s="713"/>
      <c r="T780" s="713"/>
      <c r="U780" s="713"/>
      <c r="V780" s="713"/>
      <c r="W780" s="713"/>
      <c r="X780" s="153"/>
      <c r="Y780" s="194"/>
    </row>
    <row r="781" spans="1:25" ht="21.95" customHeight="1" x14ac:dyDescent="0.2">
      <c r="A781" s="301"/>
      <c r="B781" s="302"/>
      <c r="C781" s="301"/>
      <c r="D781" s="301"/>
      <c r="E781" s="301"/>
      <c r="F781" s="301"/>
      <c r="G781" s="301"/>
      <c r="H781" s="215"/>
      <c r="I781" s="204" t="s">
        <v>3235</v>
      </c>
      <c r="J781" s="140"/>
      <c r="K781" s="202"/>
      <c r="L781" s="140"/>
      <c r="M781" s="202"/>
      <c r="N781" s="140"/>
      <c r="O781" s="202"/>
      <c r="P781" s="140"/>
      <c r="Q781" s="204" t="s">
        <v>3231</v>
      </c>
      <c r="R781" s="140"/>
      <c r="S781" s="202"/>
      <c r="T781" s="140"/>
      <c r="U781" s="202"/>
      <c r="V781" s="140"/>
      <c r="W781" s="202"/>
      <c r="X781" s="140"/>
      <c r="Y781" s="194"/>
    </row>
    <row r="782" spans="1:25" ht="21.95" customHeight="1" x14ac:dyDescent="0.2">
      <c r="H782" s="215"/>
      <c r="I782" s="743"/>
      <c r="J782" s="674"/>
      <c r="K782" s="674"/>
      <c r="L782" s="674"/>
      <c r="M782" s="674"/>
      <c r="N782" s="674"/>
      <c r="O782" s="674"/>
      <c r="P782" s="165" t="str">
        <f ca="1">G491</f>
        <v/>
      </c>
      <c r="Q782" s="673"/>
      <c r="R782" s="674"/>
      <c r="S782" s="674"/>
      <c r="T782" s="674"/>
      <c r="U782" s="674"/>
      <c r="V782" s="674"/>
      <c r="W782" s="674"/>
      <c r="X782" s="165" t="str">
        <f ca="1">G492</f>
        <v/>
      </c>
      <c r="Y782" s="194"/>
    </row>
    <row r="783" spans="1:25" ht="21.95" customHeight="1" x14ac:dyDescent="0.2">
      <c r="H783" s="215"/>
      <c r="I783" s="204" t="s">
        <v>3236</v>
      </c>
      <c r="J783" s="140"/>
      <c r="K783" s="202"/>
      <c r="L783" s="140"/>
      <c r="M783" s="215"/>
      <c r="N783" s="153"/>
      <c r="O783" s="215"/>
      <c r="P783" s="153"/>
      <c r="Q783" s="204" t="s">
        <v>3462</v>
      </c>
      <c r="R783" s="140"/>
      <c r="S783" s="202"/>
      <c r="T783" s="140"/>
      <c r="U783" s="215"/>
      <c r="V783" s="153"/>
      <c r="W783" s="215"/>
      <c r="X783" s="153"/>
      <c r="Y783" s="194"/>
    </row>
    <row r="784" spans="1:25" ht="21.95" customHeight="1" x14ac:dyDescent="0.2">
      <c r="H784" s="215"/>
      <c r="I784" s="671"/>
      <c r="J784" s="672"/>
      <c r="K784" s="672"/>
      <c r="L784" s="672"/>
      <c r="M784" s="672"/>
      <c r="N784" s="672"/>
      <c r="O784" s="672"/>
      <c r="P784" s="165" t="str">
        <f ca="1">G493</f>
        <v/>
      </c>
      <c r="Q784" s="596"/>
      <c r="R784" s="597"/>
      <c r="S784" s="597"/>
      <c r="T784" s="597"/>
      <c r="U784" s="597"/>
      <c r="V784" s="597"/>
      <c r="W784" s="597"/>
      <c r="X784" s="165" t="str">
        <f ca="1">G494</f>
        <v/>
      </c>
      <c r="Y784" s="194"/>
    </row>
    <row r="785" spans="8:25" ht="21.95" customHeight="1" x14ac:dyDescent="0.2">
      <c r="H785" s="215"/>
      <c r="I785" s="215"/>
      <c r="J785" s="153"/>
      <c r="K785" s="215"/>
      <c r="L785" s="153"/>
      <c r="M785" s="215"/>
      <c r="N785" s="153"/>
      <c r="O785" s="215"/>
      <c r="P785" s="153"/>
      <c r="Q785" s="215"/>
      <c r="R785" s="153"/>
      <c r="S785" s="215"/>
      <c r="T785" s="153"/>
      <c r="U785" s="215"/>
      <c r="V785" s="153"/>
      <c r="W785" s="215"/>
      <c r="X785" s="153"/>
      <c r="Y785" s="194"/>
    </row>
    <row r="786" spans="8:25" ht="21.95" customHeight="1" x14ac:dyDescent="0.2">
      <c r="H786" s="215"/>
      <c r="I786" s="455" t="s">
        <v>3237</v>
      </c>
      <c r="J786" s="660"/>
      <c r="K786" s="660"/>
      <c r="L786" s="660"/>
      <c r="M786" s="660"/>
      <c r="N786" s="660"/>
      <c r="O786" s="660"/>
      <c r="P786" s="660"/>
      <c r="Q786" s="660"/>
      <c r="R786" s="660"/>
      <c r="S786" s="660"/>
      <c r="T786" s="660"/>
      <c r="U786" s="660"/>
      <c r="V786" s="153"/>
      <c r="W786" s="212"/>
      <c r="X786" s="165" t="str">
        <f ca="1">G495</f>
        <v/>
      </c>
      <c r="Y786" s="194"/>
    </row>
    <row r="787" spans="8:25" ht="21.95" customHeight="1" x14ac:dyDescent="0.2">
      <c r="H787" s="215"/>
      <c r="I787" s="660"/>
      <c r="J787" s="660"/>
      <c r="K787" s="660"/>
      <c r="L787" s="660"/>
      <c r="M787" s="660"/>
      <c r="N787" s="660"/>
      <c r="O787" s="660"/>
      <c r="P787" s="660"/>
      <c r="Q787" s="660"/>
      <c r="R787" s="660"/>
      <c r="S787" s="660"/>
      <c r="T787" s="660"/>
      <c r="U787" s="660"/>
      <c r="V787" s="153"/>
      <c r="W787" s="215"/>
      <c r="X787" s="153"/>
      <c r="Y787" s="194"/>
    </row>
    <row r="788" spans="8:25" ht="21.95" customHeight="1" x14ac:dyDescent="0.2">
      <c r="H788" s="215"/>
      <c r="I788" s="312" t="s">
        <v>3500</v>
      </c>
      <c r="J788" s="204"/>
      <c r="K788" s="204"/>
      <c r="L788" s="204"/>
      <c r="M788" s="204"/>
      <c r="N788" s="204"/>
      <c r="O788" s="204"/>
      <c r="P788" s="204"/>
      <c r="Q788" s="204"/>
      <c r="R788" s="204"/>
      <c r="S788" s="204"/>
      <c r="T788" s="204"/>
      <c r="U788" s="204"/>
      <c r="V788" s="204"/>
      <c r="W788" s="175" t="str">
        <f>SUBSTITUTE(SUBSTITUTE(SUBSTITUTE(IF(LEN(B496)&gt;F496,CONFIG_CHAR_LIMIT_TEMPLATE_ERR,CONFIG_CHAR_LIMIT_TEMPLATE),"[diff]",ABS(LEN(B496)-F496)),"[limit]",F496),"[used]",LEN(B496))</f>
        <v>1000 character(s) remaining</v>
      </c>
      <c r="X788" s="153"/>
      <c r="Y788" s="194"/>
    </row>
    <row r="789" spans="8:25" ht="21.95" customHeight="1" x14ac:dyDescent="0.2">
      <c r="H789" s="215"/>
      <c r="I789" s="500"/>
      <c r="J789" s="501"/>
      <c r="K789" s="501"/>
      <c r="L789" s="501"/>
      <c r="M789" s="501"/>
      <c r="N789" s="501"/>
      <c r="O789" s="501"/>
      <c r="P789" s="501"/>
      <c r="Q789" s="501"/>
      <c r="R789" s="501"/>
      <c r="S789" s="501"/>
      <c r="T789" s="501"/>
      <c r="U789" s="501"/>
      <c r="V789" s="501"/>
      <c r="W789" s="502"/>
      <c r="X789" s="165" t="str">
        <f ca="1">G496</f>
        <v/>
      </c>
      <c r="Y789" s="194"/>
    </row>
    <row r="790" spans="8:25" ht="21.95" customHeight="1" x14ac:dyDescent="0.2">
      <c r="H790" s="215"/>
      <c r="I790" s="503"/>
      <c r="J790" s="504"/>
      <c r="K790" s="504"/>
      <c r="L790" s="504"/>
      <c r="M790" s="504"/>
      <c r="N790" s="504"/>
      <c r="O790" s="504"/>
      <c r="P790" s="504"/>
      <c r="Q790" s="504"/>
      <c r="R790" s="504"/>
      <c r="S790" s="504"/>
      <c r="T790" s="504"/>
      <c r="U790" s="504"/>
      <c r="V790" s="504"/>
      <c r="W790" s="505"/>
      <c r="X790" s="153"/>
      <c r="Y790" s="194"/>
    </row>
    <row r="791" spans="8:25" ht="21.95" customHeight="1" x14ac:dyDescent="0.2">
      <c r="H791" s="215"/>
      <c r="I791" s="506"/>
      <c r="J791" s="507"/>
      <c r="K791" s="507"/>
      <c r="L791" s="507"/>
      <c r="M791" s="507"/>
      <c r="N791" s="507"/>
      <c r="O791" s="507"/>
      <c r="P791" s="507"/>
      <c r="Q791" s="507"/>
      <c r="R791" s="507"/>
      <c r="S791" s="507"/>
      <c r="T791" s="507"/>
      <c r="U791" s="507"/>
      <c r="V791" s="507"/>
      <c r="W791" s="508"/>
      <c r="X791" s="153"/>
      <c r="Y791" s="194"/>
    </row>
    <row r="792" spans="8:25" ht="21.95" customHeight="1" x14ac:dyDescent="0.2">
      <c r="H792" s="215"/>
      <c r="I792" s="215"/>
      <c r="J792" s="235"/>
      <c r="K792" s="235"/>
      <c r="L792" s="235"/>
      <c r="M792" s="235"/>
      <c r="N792" s="235"/>
      <c r="O792" s="235"/>
      <c r="P792" s="235"/>
      <c r="Q792" s="235"/>
      <c r="R792" s="235"/>
      <c r="S792" s="235"/>
      <c r="T792" s="235"/>
      <c r="U792" s="215"/>
      <c r="V792" s="153"/>
      <c r="W792" s="215"/>
      <c r="X792" s="153"/>
      <c r="Y792" s="194"/>
    </row>
    <row r="793" spans="8:25" ht="21.95" customHeight="1" thickBot="1" x14ac:dyDescent="0.25">
      <c r="H793" s="215"/>
      <c r="I793" s="216" t="s">
        <v>3371</v>
      </c>
      <c r="J793" s="217"/>
      <c r="K793" s="223"/>
      <c r="L793" s="217"/>
      <c r="M793" s="223"/>
      <c r="N793" s="217"/>
      <c r="O793" s="223"/>
      <c r="P793" s="217"/>
      <c r="Q793" s="255"/>
      <c r="R793" s="217"/>
      <c r="S793" s="223"/>
      <c r="T793" s="217"/>
      <c r="U793" s="223"/>
      <c r="V793" s="217"/>
      <c r="W793" s="223"/>
      <c r="X793" s="153"/>
      <c r="Y793" s="194"/>
    </row>
    <row r="794" spans="8:25" ht="21.95" customHeight="1" thickTop="1" x14ac:dyDescent="0.2">
      <c r="H794" s="215"/>
      <c r="I794" s="215"/>
      <c r="J794" s="153"/>
      <c r="K794" s="215"/>
      <c r="L794" s="153"/>
      <c r="M794" s="215"/>
      <c r="N794" s="153"/>
      <c r="O794" s="215"/>
      <c r="P794" s="153"/>
      <c r="Q794" s="215"/>
      <c r="R794" s="153"/>
      <c r="S794" s="215"/>
      <c r="T794" s="153"/>
      <c r="U794" s="215"/>
      <c r="V794" s="153"/>
      <c r="W794" s="215"/>
      <c r="X794" s="153"/>
      <c r="Y794" s="194"/>
    </row>
    <row r="795" spans="8:25" ht="21.95" customHeight="1" x14ac:dyDescent="0.2">
      <c r="H795" s="215"/>
      <c r="I795" s="499" t="s">
        <v>3240</v>
      </c>
      <c r="J795" s="498"/>
      <c r="K795" s="498"/>
      <c r="L795" s="498"/>
      <c r="M795" s="498"/>
      <c r="N795" s="498"/>
      <c r="O795" s="498"/>
      <c r="P795" s="498"/>
      <c r="Q795" s="498"/>
      <c r="R795" s="498"/>
      <c r="S795" s="498"/>
      <c r="T795" s="498"/>
      <c r="U795" s="498"/>
      <c r="V795" s="153"/>
      <c r="W795" s="230"/>
      <c r="X795" s="165" t="str">
        <f ca="1">G501</f>
        <v/>
      </c>
      <c r="Y795" s="194"/>
    </row>
    <row r="796" spans="8:25" ht="21.95" customHeight="1" x14ac:dyDescent="0.2">
      <c r="H796" s="215"/>
      <c r="I796" s="194"/>
      <c r="J796" s="153"/>
      <c r="K796" s="194"/>
      <c r="L796" s="153"/>
      <c r="M796" s="194"/>
      <c r="N796" s="153"/>
      <c r="O796" s="194"/>
      <c r="P796" s="153"/>
      <c r="Q796" s="194"/>
      <c r="R796" s="153"/>
      <c r="S796" s="488" t="str">
        <f ca="1">D501</f>
        <v/>
      </c>
      <c r="T796" s="488"/>
      <c r="U796" s="488"/>
      <c r="V796" s="488"/>
      <c r="W796" s="488"/>
      <c r="X796" s="153"/>
      <c r="Y796" s="194"/>
    </row>
    <row r="797" spans="8:25" ht="21.95" customHeight="1" x14ac:dyDescent="0.2">
      <c r="H797" s="215"/>
      <c r="I797" s="563" t="s">
        <v>3241</v>
      </c>
      <c r="J797" s="614"/>
      <c r="K797" s="614"/>
      <c r="L797" s="614"/>
      <c r="M797" s="614"/>
      <c r="N797" s="614"/>
      <c r="O797" s="614"/>
      <c r="P797" s="614"/>
      <c r="Q797" s="614"/>
      <c r="R797" s="614"/>
      <c r="S797" s="614"/>
      <c r="T797" s="150"/>
      <c r="U797" s="671"/>
      <c r="V797" s="672"/>
      <c r="W797" s="672"/>
      <c r="X797" s="165" t="str">
        <f ca="1">G502</f>
        <v/>
      </c>
      <c r="Y797" s="194"/>
    </row>
    <row r="798" spans="8:25" ht="21.95" customHeight="1" x14ac:dyDescent="0.2">
      <c r="H798" s="215"/>
      <c r="I798" s="614"/>
      <c r="J798" s="614"/>
      <c r="K798" s="614"/>
      <c r="L798" s="614"/>
      <c r="M798" s="614"/>
      <c r="N798" s="614"/>
      <c r="O798" s="614"/>
      <c r="P798" s="614"/>
      <c r="Q798" s="614"/>
      <c r="R798" s="614"/>
      <c r="S798" s="614"/>
      <c r="T798" s="150"/>
      <c r="U798" s="150"/>
      <c r="V798" s="153"/>
      <c r="W798" s="194"/>
      <c r="X798" s="153"/>
      <c r="Y798" s="194"/>
    </row>
    <row r="799" spans="8:25" ht="21.95" customHeight="1" x14ac:dyDescent="0.2">
      <c r="H799" s="215"/>
      <c r="I799" s="215"/>
      <c r="J799" s="153"/>
      <c r="K799" s="215"/>
      <c r="L799" s="153"/>
      <c r="M799" s="215"/>
      <c r="N799" s="153"/>
      <c r="O799" s="215"/>
      <c r="P799" s="153"/>
      <c r="Q799" s="215"/>
      <c r="R799" s="153"/>
      <c r="S799" s="215"/>
      <c r="T799" s="153"/>
      <c r="U799" s="215"/>
      <c r="V799" s="153"/>
      <c r="W799" s="215"/>
      <c r="X799" s="140"/>
      <c r="Y799" s="194"/>
    </row>
    <row r="800" spans="8:25" ht="21.95" customHeight="1" x14ac:dyDescent="0.2">
      <c r="H800" s="215"/>
      <c r="I800" s="499" t="s">
        <v>3242</v>
      </c>
      <c r="J800" s="498"/>
      <c r="K800" s="498"/>
      <c r="L800" s="498"/>
      <c r="M800" s="498"/>
      <c r="N800" s="498"/>
      <c r="O800" s="498"/>
      <c r="P800" s="498"/>
      <c r="Q800" s="498"/>
      <c r="R800" s="498"/>
      <c r="S800" s="498"/>
      <c r="T800" s="498"/>
      <c r="U800" s="498"/>
      <c r="V800" s="153"/>
      <c r="W800" s="230"/>
      <c r="X800" s="165" t="str">
        <f ca="1">G503</f>
        <v/>
      </c>
      <c r="Y800" s="194"/>
    </row>
    <row r="801" spans="1:25" ht="21.95" customHeight="1" x14ac:dyDescent="0.2">
      <c r="H801" s="215"/>
      <c r="I801" s="194"/>
      <c r="J801" s="153"/>
      <c r="K801" s="194"/>
      <c r="L801" s="153"/>
      <c r="M801" s="194"/>
      <c r="N801" s="153"/>
      <c r="O801" s="194"/>
      <c r="P801" s="153"/>
      <c r="Q801" s="194"/>
      <c r="R801" s="153"/>
      <c r="S801" s="488" t="str">
        <f ca="1">D503</f>
        <v/>
      </c>
      <c r="T801" s="488"/>
      <c r="U801" s="488"/>
      <c r="V801" s="488"/>
      <c r="W801" s="488"/>
      <c r="X801" s="153"/>
      <c r="Y801" s="194"/>
    </row>
    <row r="802" spans="1:25" ht="21.95" customHeight="1" x14ac:dyDescent="0.2">
      <c r="A802" s="301"/>
      <c r="B802" s="302"/>
      <c r="C802" s="301"/>
      <c r="D802" s="301"/>
      <c r="E802" s="301"/>
      <c r="F802" s="301"/>
      <c r="G802" s="301"/>
      <c r="H802" s="215"/>
      <c r="I802" s="563" t="s">
        <v>3243</v>
      </c>
      <c r="J802" s="614"/>
      <c r="K802" s="614"/>
      <c r="L802" s="614"/>
      <c r="M802" s="614"/>
      <c r="N802" s="614"/>
      <c r="O802" s="614"/>
      <c r="P802" s="614"/>
      <c r="Q802" s="614"/>
      <c r="R802" s="614"/>
      <c r="S802" s="614"/>
      <c r="T802" s="150"/>
      <c r="U802" s="671"/>
      <c r="V802" s="672"/>
      <c r="W802" s="672"/>
      <c r="X802" s="165" t="str">
        <f ca="1">G504</f>
        <v/>
      </c>
      <c r="Y802" s="194"/>
    </row>
    <row r="803" spans="1:25" ht="21.95" customHeight="1" x14ac:dyDescent="0.2">
      <c r="A803" s="301"/>
      <c r="B803" s="302"/>
      <c r="C803" s="301"/>
      <c r="D803" s="301"/>
      <c r="E803" s="301"/>
      <c r="F803" s="301"/>
      <c r="G803" s="301"/>
      <c r="H803" s="215"/>
      <c r="I803" s="614"/>
      <c r="J803" s="614"/>
      <c r="K803" s="614"/>
      <c r="L803" s="614"/>
      <c r="M803" s="614"/>
      <c r="N803" s="614"/>
      <c r="O803" s="614"/>
      <c r="P803" s="614"/>
      <c r="Q803" s="614"/>
      <c r="R803" s="614"/>
      <c r="S803" s="614"/>
      <c r="T803" s="150"/>
      <c r="U803" s="150"/>
      <c r="V803" s="153"/>
      <c r="W803" s="194"/>
      <c r="X803" s="153"/>
      <c r="Y803" s="194"/>
    </row>
    <row r="804" spans="1:25" ht="21.95" customHeight="1" x14ac:dyDescent="0.2">
      <c r="A804" s="301"/>
      <c r="B804" s="302"/>
      <c r="C804" s="301"/>
      <c r="D804" s="301"/>
      <c r="E804" s="301"/>
      <c r="F804" s="301"/>
      <c r="G804" s="301"/>
      <c r="H804" s="215"/>
      <c r="I804" s="573" t="s">
        <v>3699</v>
      </c>
      <c r="J804" s="574"/>
      <c r="K804" s="574"/>
      <c r="L804" s="574"/>
      <c r="M804" s="574"/>
      <c r="N804" s="574"/>
      <c r="O804" s="574"/>
      <c r="P804" s="574"/>
      <c r="Q804" s="574"/>
      <c r="R804" s="574"/>
      <c r="S804" s="574"/>
      <c r="T804" s="574"/>
      <c r="U804" s="574"/>
      <c r="V804" s="574"/>
      <c r="W804" s="574"/>
      <c r="X804" s="153"/>
      <c r="Y804" s="194"/>
    </row>
    <row r="805" spans="1:25" ht="21.95" customHeight="1" x14ac:dyDescent="0.2">
      <c r="A805" s="301"/>
      <c r="B805" s="302"/>
      <c r="C805" s="301"/>
      <c r="D805" s="301"/>
      <c r="E805" s="301"/>
      <c r="F805" s="301"/>
      <c r="G805" s="301"/>
      <c r="H805" s="215"/>
      <c r="I805" s="574"/>
      <c r="J805" s="574"/>
      <c r="K805" s="574"/>
      <c r="L805" s="574"/>
      <c r="M805" s="574"/>
      <c r="N805" s="574"/>
      <c r="O805" s="574"/>
      <c r="P805" s="574"/>
      <c r="Q805" s="574"/>
      <c r="R805" s="574"/>
      <c r="S805" s="574"/>
      <c r="T805" s="574"/>
      <c r="U805" s="574"/>
      <c r="V805" s="574"/>
      <c r="W805" s="574"/>
      <c r="X805" s="153"/>
      <c r="Y805" s="194"/>
    </row>
    <row r="806" spans="1:25" ht="21.95" customHeight="1" x14ac:dyDescent="0.2">
      <c r="A806" s="301"/>
      <c r="B806" s="302"/>
      <c r="C806" s="301"/>
      <c r="D806" s="301"/>
      <c r="E806" s="301"/>
      <c r="F806" s="301"/>
      <c r="G806" s="301"/>
      <c r="H806" s="215"/>
      <c r="I806" s="574"/>
      <c r="J806" s="574"/>
      <c r="K806" s="574"/>
      <c r="L806" s="574"/>
      <c r="M806" s="574"/>
      <c r="N806" s="574"/>
      <c r="O806" s="574"/>
      <c r="P806" s="574"/>
      <c r="Q806" s="574"/>
      <c r="R806" s="574"/>
      <c r="S806" s="574"/>
      <c r="T806" s="574"/>
      <c r="U806" s="574"/>
      <c r="V806" s="574"/>
      <c r="W806" s="574"/>
      <c r="X806" s="153"/>
      <c r="Y806" s="194"/>
    </row>
    <row r="807" spans="1:25" ht="21.95" customHeight="1" thickBot="1" x14ac:dyDescent="0.25">
      <c r="A807" s="301"/>
      <c r="B807" s="302"/>
      <c r="C807" s="301"/>
      <c r="D807" s="301"/>
      <c r="E807" s="301"/>
      <c r="F807" s="301"/>
      <c r="G807" s="301"/>
      <c r="H807" s="215"/>
      <c r="I807" s="216" t="s">
        <v>3372</v>
      </c>
      <c r="J807" s="217"/>
      <c r="K807" s="223"/>
      <c r="L807" s="217"/>
      <c r="M807" s="223"/>
      <c r="N807" s="217"/>
      <c r="O807" s="223"/>
      <c r="P807" s="217"/>
      <c r="Q807" s="255"/>
      <c r="R807" s="217"/>
      <c r="S807" s="223"/>
      <c r="T807" s="217"/>
      <c r="U807" s="223"/>
      <c r="V807" s="217"/>
      <c r="W807" s="223"/>
      <c r="X807" s="153"/>
      <c r="Y807" s="194"/>
    </row>
    <row r="808" spans="1:25" ht="21.95" customHeight="1" thickTop="1" x14ac:dyDescent="0.2">
      <c r="A808" s="301"/>
      <c r="B808" s="302"/>
      <c r="C808" s="301"/>
      <c r="D808" s="301"/>
      <c r="E808" s="301"/>
      <c r="F808" s="301"/>
      <c r="G808" s="301"/>
      <c r="H808" s="215"/>
      <c r="I808" s="314"/>
      <c r="J808" s="314"/>
      <c r="K808" s="314"/>
      <c r="L808" s="314"/>
      <c r="M808" s="314"/>
      <c r="N808" s="314"/>
      <c r="O808" s="314"/>
      <c r="P808" s="314"/>
      <c r="Q808" s="314"/>
      <c r="R808" s="314"/>
      <c r="S808" s="314"/>
      <c r="T808" s="150"/>
      <c r="U808" s="150"/>
      <c r="V808" s="153"/>
      <c r="W808" s="194"/>
      <c r="X808" s="153"/>
      <c r="Y808" s="194"/>
    </row>
    <row r="809" spans="1:25" ht="21.95" customHeight="1" x14ac:dyDescent="0.2">
      <c r="A809" s="301"/>
      <c r="B809" s="302"/>
      <c r="C809" s="301"/>
      <c r="D809" s="301"/>
      <c r="E809" s="301"/>
      <c r="F809" s="301"/>
      <c r="G809" s="301"/>
      <c r="H809" s="215"/>
      <c r="I809" s="499" t="s">
        <v>3373</v>
      </c>
      <c r="J809" s="498"/>
      <c r="K809" s="498"/>
      <c r="L809" s="498"/>
      <c r="M809" s="498"/>
      <c r="N809" s="498"/>
      <c r="O809" s="498"/>
      <c r="P809" s="498"/>
      <c r="Q809" s="498"/>
      <c r="R809" s="498"/>
      <c r="S809" s="498"/>
      <c r="T809" s="498"/>
      <c r="U809" s="498"/>
      <c r="V809" s="153"/>
      <c r="W809" s="230"/>
      <c r="X809" s="165" t="str">
        <f ca="1">G505</f>
        <v/>
      </c>
      <c r="Y809" s="194"/>
    </row>
    <row r="810" spans="1:25" ht="21.95" customHeight="1" x14ac:dyDescent="0.2">
      <c r="A810" s="301"/>
      <c r="B810" s="302"/>
      <c r="C810" s="301"/>
      <c r="D810" s="301"/>
      <c r="E810" s="301"/>
      <c r="F810" s="301"/>
      <c r="G810" s="301"/>
      <c r="H810" s="215"/>
      <c r="I810" s="202"/>
      <c r="J810" s="314"/>
      <c r="K810" s="314"/>
      <c r="L810" s="314"/>
      <c r="M810" s="314"/>
      <c r="N810" s="314"/>
      <c r="O810" s="314"/>
      <c r="P810" s="314"/>
      <c r="Q810" s="314"/>
      <c r="R810" s="314"/>
      <c r="S810" s="314"/>
      <c r="T810" s="150"/>
      <c r="U810" s="488" t="str">
        <f ca="1">D505</f>
        <v/>
      </c>
      <c r="V810" s="489"/>
      <c r="W810" s="489"/>
      <c r="X810" s="153"/>
      <c r="Y810" s="194"/>
    </row>
    <row r="811" spans="1:25" ht="21.95" customHeight="1" x14ac:dyDescent="0.2">
      <c r="A811" s="301"/>
      <c r="B811" s="302"/>
      <c r="C811" s="301"/>
      <c r="D811" s="301"/>
      <c r="E811" s="301"/>
      <c r="F811" s="301"/>
      <c r="G811" s="301"/>
      <c r="H811" s="215"/>
      <c r="I811" s="510" t="s">
        <v>3496</v>
      </c>
      <c r="J811" s="499"/>
      <c r="K811" s="499"/>
      <c r="L811" s="499"/>
      <c r="M811" s="499"/>
      <c r="N811" s="499"/>
      <c r="O811" s="499"/>
      <c r="P811" s="499"/>
      <c r="Q811" s="499"/>
      <c r="R811" s="499"/>
      <c r="S811" s="499"/>
      <c r="T811" s="499"/>
      <c r="U811" s="499"/>
      <c r="V811" s="499"/>
      <c r="W811" s="499"/>
      <c r="X811" s="153"/>
      <c r="Y811" s="194"/>
    </row>
    <row r="812" spans="1:25" ht="21.95" customHeight="1" x14ac:dyDescent="0.2">
      <c r="A812" s="301"/>
      <c r="B812" s="302"/>
      <c r="C812" s="301"/>
      <c r="D812" s="301"/>
      <c r="E812" s="301"/>
      <c r="F812" s="301"/>
      <c r="G812" s="301"/>
      <c r="H812" s="215"/>
      <c r="I812" s="499"/>
      <c r="J812" s="499"/>
      <c r="K812" s="499"/>
      <c r="L812" s="499"/>
      <c r="M812" s="499"/>
      <c r="N812" s="499"/>
      <c r="O812" s="499"/>
      <c r="P812" s="499"/>
      <c r="Q812" s="499"/>
      <c r="R812" s="499"/>
      <c r="S812" s="499"/>
      <c r="T812" s="499"/>
      <c r="U812" s="499"/>
      <c r="V812" s="499"/>
      <c r="W812" s="499"/>
      <c r="X812" s="153"/>
      <c r="Y812" s="194"/>
    </row>
    <row r="813" spans="1:25" ht="21.95" customHeight="1" x14ac:dyDescent="0.2">
      <c r="A813" s="301"/>
      <c r="B813" s="302"/>
      <c r="C813" s="301"/>
      <c r="D813" s="301"/>
      <c r="E813" s="301"/>
      <c r="F813" s="301"/>
      <c r="G813" s="301"/>
      <c r="H813" s="215"/>
      <c r="I813" s="499"/>
      <c r="J813" s="499"/>
      <c r="K813" s="499"/>
      <c r="L813" s="499"/>
      <c r="M813" s="499"/>
      <c r="N813" s="499"/>
      <c r="O813" s="499"/>
      <c r="P813" s="499"/>
      <c r="Q813" s="499"/>
      <c r="R813" s="499"/>
      <c r="S813" s="499"/>
      <c r="T813" s="499"/>
      <c r="U813" s="499"/>
      <c r="V813" s="499"/>
      <c r="W813" s="499"/>
      <c r="X813" s="153"/>
      <c r="Y813" s="194"/>
    </row>
    <row r="814" spans="1:25" ht="21.95" customHeight="1" x14ac:dyDescent="0.2">
      <c r="A814" s="301"/>
      <c r="B814" s="302"/>
      <c r="C814" s="301"/>
      <c r="D814" s="301"/>
      <c r="E814" s="301"/>
      <c r="F814" s="301"/>
      <c r="G814" s="301"/>
      <c r="H814" s="215"/>
      <c r="I814" s="194"/>
      <c r="J814" s="153"/>
      <c r="K814" s="194"/>
      <c r="L814" s="153"/>
      <c r="M814" s="194"/>
      <c r="N814" s="153"/>
      <c r="O814" s="194"/>
      <c r="P814" s="153"/>
      <c r="Q814" s="194"/>
      <c r="R814" s="153"/>
      <c r="S814" s="194"/>
      <c r="T814" s="153"/>
      <c r="U814" s="194"/>
      <c r="V814" s="153"/>
      <c r="W814" s="194"/>
      <c r="X814" s="153"/>
      <c r="Y814" s="194"/>
    </row>
    <row r="815" spans="1:25" ht="21.95" customHeight="1" thickBot="1" x14ac:dyDescent="0.25">
      <c r="A815" s="301"/>
      <c r="B815" s="302"/>
      <c r="C815" s="301"/>
      <c r="D815" s="301"/>
      <c r="E815" s="301"/>
      <c r="F815" s="301"/>
      <c r="G815" s="301"/>
      <c r="H815" s="215"/>
      <c r="I815" s="424" t="str">
        <f>B461</f>
        <v>In-District Projects (Maximum Points: 5)</v>
      </c>
      <c r="J815" s="269"/>
      <c r="K815" s="269"/>
      <c r="L815" s="269"/>
      <c r="M815" s="269"/>
      <c r="N815" s="269"/>
      <c r="O815" s="269"/>
      <c r="P815" s="269"/>
      <c r="Q815" s="269"/>
      <c r="R815" s="269"/>
      <c r="S815" s="269"/>
      <c r="T815" s="269"/>
      <c r="U815" s="269"/>
      <c r="V815" s="269"/>
      <c r="W815" s="269"/>
      <c r="X815" s="167" t="str">
        <f ca="1">"Status: "&amp;B468</f>
        <v>Status: Not Started</v>
      </c>
      <c r="Y815" s="194"/>
    </row>
    <row r="816" spans="1:25" ht="21.95" customHeight="1" x14ac:dyDescent="0.2">
      <c r="A816" s="301"/>
      <c r="B816" s="302"/>
      <c r="C816" s="301"/>
      <c r="D816" s="301"/>
      <c r="E816" s="301"/>
      <c r="F816" s="301"/>
      <c r="G816" s="301"/>
      <c r="H816" s="215"/>
      <c r="I816" s="194"/>
      <c r="J816" s="153"/>
      <c r="K816" s="194"/>
      <c r="L816" s="153"/>
      <c r="M816" s="194"/>
      <c r="N816" s="153"/>
      <c r="O816" s="194"/>
      <c r="P816" s="153"/>
      <c r="Q816" s="194"/>
      <c r="R816" s="153"/>
      <c r="S816" s="194"/>
      <c r="T816" s="153"/>
      <c r="U816" s="362"/>
      <c r="V816" s="363"/>
      <c r="W816" s="363"/>
      <c r="X816" s="153"/>
      <c r="Y816" s="194"/>
    </row>
    <row r="817" spans="1:25" ht="21.95" customHeight="1" x14ac:dyDescent="0.2">
      <c r="A817" s="301"/>
      <c r="B817" s="302"/>
      <c r="C817" s="301"/>
      <c r="D817" s="301"/>
      <c r="E817" s="301"/>
      <c r="F817" s="301"/>
      <c r="G817" s="301"/>
      <c r="H817" s="215"/>
      <c r="I817" s="194"/>
      <c r="J817" s="153"/>
      <c r="K817" s="194"/>
      <c r="L817" s="153"/>
      <c r="M817" s="194"/>
      <c r="N817" s="153"/>
      <c r="O817" s="194"/>
      <c r="P817" s="153"/>
      <c r="Q817" s="194"/>
      <c r="R817" s="153"/>
      <c r="S817" s="194"/>
      <c r="T817" s="153"/>
      <c r="U817" s="362"/>
      <c r="V817" s="363"/>
      <c r="W817" s="363"/>
      <c r="X817" s="153"/>
      <c r="Y817" s="194"/>
    </row>
    <row r="818" spans="1:25" ht="21.95" customHeight="1" x14ac:dyDescent="0.2">
      <c r="A818" s="301"/>
      <c r="B818" s="302"/>
      <c r="C818" s="301"/>
      <c r="D818" s="301"/>
      <c r="E818" s="301"/>
      <c r="F818" s="301"/>
      <c r="G818" s="301"/>
      <c r="H818" s="368"/>
      <c r="I818" s="166" t="s">
        <v>3574</v>
      </c>
      <c r="J818" s="140"/>
      <c r="K818" s="140"/>
      <c r="L818" s="140"/>
      <c r="M818" s="194"/>
      <c r="N818" s="153"/>
      <c r="O818" s="194"/>
      <c r="P818" s="153"/>
      <c r="Q818" s="194"/>
      <c r="R818" s="153"/>
      <c r="S818" s="194"/>
      <c r="T818" s="153"/>
      <c r="U818" s="194"/>
      <c r="V818" s="153"/>
      <c r="W818" s="365" t="str">
        <f ca="1">IF(B462="","",IF(B462=TRUE,"Yes","No"))</f>
        <v/>
      </c>
      <c r="X818" s="165">
        <f ca="1">G462</f>
        <v>1</v>
      </c>
      <c r="Y818" s="194"/>
    </row>
    <row r="819" spans="1:25" ht="21.95" customHeight="1" x14ac:dyDescent="0.2">
      <c r="A819" s="301"/>
      <c r="B819" s="302"/>
      <c r="C819" s="301"/>
      <c r="D819" s="301"/>
      <c r="E819" s="301"/>
      <c r="F819" s="301"/>
      <c r="G819" s="301"/>
      <c r="I819" s="147"/>
      <c r="K819" s="147"/>
      <c r="M819" s="147"/>
      <c r="O819" s="147"/>
      <c r="Q819" s="147"/>
      <c r="S819" s="147"/>
      <c r="U819" s="147"/>
      <c r="W819" s="147"/>
      <c r="Y819" s="147"/>
    </row>
    <row r="820" spans="1:25" ht="21.95" customHeight="1" thickBot="1" x14ac:dyDescent="0.25">
      <c r="A820" s="301"/>
      <c r="B820" s="302"/>
      <c r="C820" s="301"/>
      <c r="D820" s="301"/>
      <c r="E820" s="301"/>
      <c r="F820" s="301"/>
      <c r="G820" s="301"/>
      <c r="I820" s="424" t="str">
        <f>B564</f>
        <v>Subsidy per Unit (Maximum Points: 12)</v>
      </c>
      <c r="J820" s="269"/>
      <c r="K820" s="269"/>
      <c r="L820" s="269"/>
      <c r="M820" s="269"/>
      <c r="N820" s="269"/>
      <c r="O820" s="269"/>
      <c r="P820" s="269"/>
      <c r="Q820" s="269"/>
      <c r="R820" s="269"/>
      <c r="S820" s="269"/>
      <c r="T820" s="269"/>
      <c r="U820" s="269"/>
      <c r="V820" s="269"/>
      <c r="W820" s="269"/>
      <c r="X820" s="167" t="str">
        <f ca="1">"Status: "&amp;B573</f>
        <v>Status: Not Started</v>
      </c>
      <c r="Y820" s="147"/>
    </row>
    <row r="821" spans="1:25" ht="21.95" customHeight="1" x14ac:dyDescent="0.2">
      <c r="A821" s="301"/>
      <c r="B821" s="302"/>
      <c r="C821" s="301"/>
      <c r="D821" s="301"/>
      <c r="E821" s="301"/>
      <c r="F821" s="301"/>
      <c r="G821" s="301"/>
    </row>
    <row r="822" spans="1:25" ht="21.95" customHeight="1" x14ac:dyDescent="0.2">
      <c r="A822" s="301"/>
      <c r="B822" s="302"/>
      <c r="C822" s="301"/>
      <c r="D822" s="301"/>
      <c r="E822" s="301"/>
      <c r="F822" s="301"/>
      <c r="G822" s="301"/>
      <c r="I822" s="455" t="s">
        <v>3841</v>
      </c>
      <c r="J822" s="455"/>
      <c r="K822" s="455"/>
      <c r="L822" s="455"/>
      <c r="M822" s="455"/>
      <c r="N822" s="455"/>
      <c r="O822" s="455"/>
      <c r="P822" s="455"/>
      <c r="Q822" s="455"/>
      <c r="R822" s="455"/>
      <c r="S822" s="455"/>
      <c r="T822" s="455"/>
      <c r="U822" s="455"/>
      <c r="V822" s="455"/>
      <c r="W822" s="455"/>
    </row>
    <row r="823" spans="1:25" ht="21.95" customHeight="1" x14ac:dyDescent="0.2">
      <c r="A823" s="301"/>
      <c r="B823" s="302"/>
      <c r="C823" s="301"/>
      <c r="D823" s="301"/>
      <c r="E823" s="301"/>
      <c r="F823" s="301"/>
      <c r="G823" s="301"/>
    </row>
    <row r="824" spans="1:25" ht="21.95" customHeight="1" x14ac:dyDescent="0.2">
      <c r="A824" s="301"/>
      <c r="B824" s="302"/>
      <c r="C824" s="301"/>
      <c r="D824" s="301"/>
      <c r="E824" s="301"/>
      <c r="F824" s="301"/>
      <c r="G824" s="301"/>
      <c r="H824" s="434"/>
      <c r="I824" s="166" t="s">
        <v>3838</v>
      </c>
      <c r="W824" s="429" t="str">
        <f ca="1">IF(B565&lt;&gt;"",B565,"")</f>
        <v/>
      </c>
      <c r="X824" s="165">
        <f ca="1">G565</f>
        <v>1</v>
      </c>
    </row>
    <row r="825" spans="1:25" ht="21.95" customHeight="1" x14ac:dyDescent="0.2">
      <c r="A825" s="301"/>
      <c r="B825" s="302"/>
      <c r="C825" s="301"/>
      <c r="D825" s="301"/>
      <c r="E825" s="301"/>
      <c r="F825" s="301"/>
      <c r="G825" s="301"/>
      <c r="I825" s="166"/>
    </row>
    <row r="826" spans="1:25" ht="21.95" customHeight="1" x14ac:dyDescent="0.2">
      <c r="A826" s="301"/>
      <c r="B826" s="302"/>
      <c r="C826" s="301"/>
      <c r="D826" s="301"/>
      <c r="E826" s="301"/>
      <c r="F826" s="301"/>
      <c r="G826" s="301"/>
      <c r="I826" s="166" t="s">
        <v>3839</v>
      </c>
      <c r="U826" s="723" t="str">
        <f ca="1">IF(B566&lt;&gt;"",B566,"")</f>
        <v/>
      </c>
      <c r="V826" s="723"/>
      <c r="W826" s="723"/>
      <c r="X826" s="165">
        <f ca="1">G566</f>
        <v>1</v>
      </c>
    </row>
    <row r="827" spans="1:25" ht="21.95" customHeight="1" x14ac:dyDescent="0.2">
      <c r="A827" s="301"/>
      <c r="B827" s="302"/>
      <c r="C827" s="301"/>
      <c r="D827" s="301"/>
      <c r="E827" s="301"/>
      <c r="F827" s="301"/>
      <c r="G827" s="301"/>
      <c r="I827" s="166"/>
    </row>
    <row r="828" spans="1:25" ht="21.95" customHeight="1" x14ac:dyDescent="0.2">
      <c r="A828" s="301"/>
      <c r="B828" s="302"/>
      <c r="C828" s="301"/>
      <c r="D828" s="301"/>
      <c r="E828" s="301"/>
      <c r="F828" s="301"/>
      <c r="G828" s="301"/>
      <c r="I828" s="166" t="s">
        <v>3840</v>
      </c>
      <c r="U828" s="723" t="str">
        <f ca="1">IF(B567&lt;&gt;"",B567,"")</f>
        <v/>
      </c>
      <c r="V828" s="723"/>
      <c r="W828" s="723"/>
      <c r="X828" s="165">
        <f ca="1">G567</f>
        <v>1</v>
      </c>
    </row>
    <row r="829" spans="1:25" ht="21.95" customHeight="1" x14ac:dyDescent="0.2">
      <c r="A829" s="301"/>
      <c r="B829" s="302"/>
      <c r="C829" s="301"/>
      <c r="D829" s="301"/>
      <c r="E829" s="301"/>
      <c r="F829" s="301"/>
      <c r="G829" s="301"/>
    </row>
    <row r="830" spans="1:25" ht="21.95" customHeight="1" thickBot="1" x14ac:dyDescent="0.25">
      <c r="A830" s="301"/>
      <c r="B830" s="302"/>
      <c r="C830" s="301"/>
      <c r="D830" s="301"/>
      <c r="E830" s="301"/>
      <c r="F830" s="301"/>
      <c r="G830" s="301"/>
      <c r="I830" s="424" t="str">
        <f>B582</f>
        <v>Score Summary</v>
      </c>
      <c r="J830" s="269"/>
      <c r="K830" s="269"/>
      <c r="L830" s="269"/>
      <c r="M830" s="269"/>
      <c r="N830" s="269"/>
      <c r="O830" s="269"/>
      <c r="P830" s="269"/>
      <c r="Q830" s="269"/>
      <c r="R830" s="269"/>
      <c r="S830" s="269"/>
      <c r="T830" s="269"/>
      <c r="U830" s="269"/>
      <c r="V830" s="269"/>
      <c r="W830" s="269"/>
      <c r="X830" s="167"/>
    </row>
    <row r="831" spans="1:25" ht="21.95" customHeight="1" x14ac:dyDescent="0.2">
      <c r="A831" s="301"/>
      <c r="B831" s="302"/>
      <c r="C831" s="301"/>
      <c r="D831" s="301"/>
      <c r="E831" s="301"/>
      <c r="F831" s="301"/>
      <c r="G831" s="301"/>
    </row>
    <row r="832" spans="1:25" ht="21.95" customHeight="1" x14ac:dyDescent="0.2">
      <c r="A832" s="301"/>
      <c r="B832" s="302"/>
      <c r="C832" s="301"/>
      <c r="D832" s="301"/>
      <c r="E832" s="301"/>
      <c r="F832" s="301"/>
      <c r="G832" s="301"/>
      <c r="I832" s="455" t="s">
        <v>3857</v>
      </c>
      <c r="J832" s="455"/>
      <c r="K832" s="455"/>
      <c r="L832" s="455"/>
      <c r="M832" s="455"/>
      <c r="N832" s="455"/>
      <c r="O832" s="455"/>
      <c r="P832" s="455"/>
      <c r="Q832" s="455"/>
      <c r="R832" s="455"/>
      <c r="S832" s="455"/>
      <c r="T832" s="455"/>
      <c r="U832" s="455"/>
      <c r="V832" s="455"/>
      <c r="W832" s="455"/>
      <c r="X832" s="455"/>
    </row>
    <row r="833" spans="1:27" ht="21.95" customHeight="1" x14ac:dyDescent="0.2">
      <c r="A833" s="301"/>
      <c r="B833" s="302"/>
      <c r="C833" s="301"/>
      <c r="D833" s="301"/>
      <c r="E833" s="301"/>
      <c r="F833" s="301"/>
      <c r="G833" s="301"/>
      <c r="I833" s="456"/>
      <c r="J833" s="456"/>
      <c r="K833" s="456"/>
      <c r="L833" s="456"/>
      <c r="M833" s="456"/>
      <c r="N833" s="456"/>
      <c r="O833" s="456"/>
      <c r="P833" s="456"/>
      <c r="Q833" s="456"/>
      <c r="R833" s="456"/>
      <c r="S833" s="456"/>
      <c r="T833" s="456"/>
      <c r="U833" s="456"/>
      <c r="V833" s="456"/>
      <c r="W833" s="456"/>
      <c r="X833" s="456"/>
    </row>
    <row r="834" spans="1:27" ht="26.25" customHeight="1" x14ac:dyDescent="0.2">
      <c r="A834" s="301"/>
      <c r="B834" s="302"/>
      <c r="C834" s="301"/>
      <c r="D834" s="301"/>
      <c r="E834" s="301"/>
      <c r="F834" s="301"/>
      <c r="G834" s="301"/>
      <c r="I834" s="459" t="s">
        <v>3854</v>
      </c>
      <c r="J834" s="460"/>
      <c r="K834" s="460"/>
      <c r="L834" s="460"/>
      <c r="M834" s="460"/>
      <c r="N834" s="460"/>
      <c r="O834" s="460"/>
      <c r="P834" s="460"/>
      <c r="Q834" s="460"/>
      <c r="R834" s="460"/>
      <c r="S834" s="460"/>
      <c r="T834" s="461"/>
      <c r="U834" s="457" t="s">
        <v>3855</v>
      </c>
      <c r="V834" s="458"/>
      <c r="W834" s="457" t="s">
        <v>3856</v>
      </c>
      <c r="X834" s="458"/>
      <c r="AA834" s="410" t="s">
        <v>3858</v>
      </c>
    </row>
    <row r="835" spans="1:27" ht="21.95" customHeight="1" x14ac:dyDescent="0.2">
      <c r="A835" s="301"/>
      <c r="B835" s="302"/>
      <c r="C835" s="301"/>
      <c r="D835" s="301"/>
      <c r="E835" s="301"/>
      <c r="F835" s="301"/>
      <c r="G835" s="301"/>
      <c r="I835" s="462" t="str">
        <f t="shared" ref="I835:I847" si="58">VLOOKUP("SECTION_"&amp;AA835,A:C,3,FALSE)</f>
        <v>Targeting to Lower-Income Households</v>
      </c>
      <c r="J835" s="463"/>
      <c r="K835" s="463"/>
      <c r="L835" s="463"/>
      <c r="M835" s="463"/>
      <c r="N835" s="463"/>
      <c r="O835" s="463"/>
      <c r="P835" s="463"/>
      <c r="Q835" s="463"/>
      <c r="R835" s="463"/>
      <c r="S835" s="463"/>
      <c r="T835" s="464"/>
      <c r="U835" s="448">
        <f>VLOOKUP("SECTION_"&amp;AA835&amp;"_SCORE_MAX_POINTS",$A:$B,2,FALSE)</f>
        <v>20</v>
      </c>
      <c r="V835" s="449"/>
      <c r="W835" s="450">
        <f ca="1">VLOOKUP("SECTION_"&amp;AA835&amp;"_SCORE_CURRENT",$A:$B,2,FALSE)</f>
        <v>0</v>
      </c>
      <c r="X835" s="451"/>
      <c r="AA835" s="410">
        <v>11</v>
      </c>
    </row>
    <row r="836" spans="1:27" ht="21.95" customHeight="1" x14ac:dyDescent="0.2">
      <c r="A836" s="301"/>
      <c r="B836" s="302"/>
      <c r="C836" s="301"/>
      <c r="D836" s="301"/>
      <c r="E836" s="301"/>
      <c r="F836" s="301"/>
      <c r="G836" s="301"/>
      <c r="I836" s="462" t="str">
        <f t="shared" si="58"/>
        <v>Use of Donated or Conveyed Government-owned or Other Properties</v>
      </c>
      <c r="J836" s="463"/>
      <c r="K836" s="463"/>
      <c r="L836" s="463"/>
      <c r="M836" s="463"/>
      <c r="N836" s="463"/>
      <c r="O836" s="463"/>
      <c r="P836" s="463"/>
      <c r="Q836" s="463"/>
      <c r="R836" s="463"/>
      <c r="S836" s="463"/>
      <c r="T836" s="464"/>
      <c r="U836" s="448">
        <f t="shared" ref="U836:U847" si="59">VLOOKUP("SECTION_"&amp;AA836&amp;"_SCORE_MAX_POINTS",$A:$B,2,FALSE)</f>
        <v>5</v>
      </c>
      <c r="V836" s="449"/>
      <c r="W836" s="450">
        <f t="shared" ref="W836:W847" ca="1" si="60">VLOOKUP("SECTION_"&amp;AA836&amp;"_SCORE_CURRENT",$A:$B,2,FALSE)</f>
        <v>0</v>
      </c>
      <c r="X836" s="451"/>
      <c r="AA836" s="410">
        <v>12</v>
      </c>
    </row>
    <row r="837" spans="1:27" ht="21.95" customHeight="1" x14ac:dyDescent="0.2">
      <c r="A837" s="301"/>
      <c r="B837" s="302"/>
      <c r="C837" s="301"/>
      <c r="D837" s="301"/>
      <c r="E837" s="301"/>
      <c r="F837" s="301"/>
      <c r="G837" s="301"/>
      <c r="I837" s="462" t="str">
        <f t="shared" si="58"/>
        <v>Sponsorship by a Not-For-Profit Organization or Government Entity</v>
      </c>
      <c r="J837" s="463"/>
      <c r="K837" s="463"/>
      <c r="L837" s="463"/>
      <c r="M837" s="463"/>
      <c r="N837" s="463"/>
      <c r="O837" s="463"/>
      <c r="P837" s="463"/>
      <c r="Q837" s="463"/>
      <c r="R837" s="463"/>
      <c r="S837" s="463"/>
      <c r="T837" s="464"/>
      <c r="U837" s="448">
        <f t="shared" si="59"/>
        <v>7</v>
      </c>
      <c r="V837" s="449"/>
      <c r="W837" s="450">
        <f t="shared" ca="1" si="60"/>
        <v>0</v>
      </c>
      <c r="X837" s="451"/>
      <c r="AA837" s="410">
        <v>13</v>
      </c>
    </row>
    <row r="838" spans="1:27" ht="21.95" customHeight="1" x14ac:dyDescent="0.2">
      <c r="A838" s="301"/>
      <c r="B838" s="302"/>
      <c r="C838" s="301"/>
      <c r="D838" s="301"/>
      <c r="E838" s="301"/>
      <c r="F838" s="301"/>
      <c r="G838" s="301"/>
      <c r="I838" s="462" t="str">
        <f t="shared" si="58"/>
        <v>Home Purchase by Low- or Moderate-Income Household</v>
      </c>
      <c r="J838" s="463"/>
      <c r="K838" s="463"/>
      <c r="L838" s="463"/>
      <c r="M838" s="463"/>
      <c r="N838" s="463"/>
      <c r="O838" s="463"/>
      <c r="P838" s="463"/>
      <c r="Q838" s="463"/>
      <c r="R838" s="463"/>
      <c r="S838" s="463"/>
      <c r="T838" s="464"/>
      <c r="U838" s="448">
        <f t="shared" si="59"/>
        <v>6</v>
      </c>
      <c r="V838" s="449"/>
      <c r="W838" s="450">
        <f t="shared" ca="1" si="60"/>
        <v>0</v>
      </c>
      <c r="X838" s="451"/>
      <c r="AA838" s="410">
        <v>18</v>
      </c>
    </row>
    <row r="839" spans="1:27" ht="21.95" customHeight="1" x14ac:dyDescent="0.2">
      <c r="A839" s="301"/>
      <c r="B839" s="302"/>
      <c r="C839" s="301"/>
      <c r="D839" s="301"/>
      <c r="E839" s="301"/>
      <c r="F839" s="301"/>
      <c r="G839" s="301"/>
      <c r="I839" s="462" t="str">
        <f t="shared" si="58"/>
        <v>Housing for Homeless Households</v>
      </c>
      <c r="J839" s="463"/>
      <c r="K839" s="463"/>
      <c r="L839" s="463"/>
      <c r="M839" s="463"/>
      <c r="N839" s="463"/>
      <c r="O839" s="463"/>
      <c r="P839" s="463"/>
      <c r="Q839" s="463"/>
      <c r="R839" s="463"/>
      <c r="S839" s="463"/>
      <c r="T839" s="464"/>
      <c r="U839" s="448">
        <f t="shared" si="59"/>
        <v>6</v>
      </c>
      <c r="V839" s="449"/>
      <c r="W839" s="450">
        <f t="shared" ca="1" si="60"/>
        <v>0</v>
      </c>
      <c r="X839" s="451"/>
      <c r="AA839" s="410">
        <v>14</v>
      </c>
    </row>
    <row r="840" spans="1:27" ht="21.95" customHeight="1" x14ac:dyDescent="0.2">
      <c r="A840" s="301"/>
      <c r="B840" s="302"/>
      <c r="C840" s="301"/>
      <c r="D840" s="301"/>
      <c r="E840" s="301"/>
      <c r="F840" s="301"/>
      <c r="G840" s="301"/>
      <c r="I840" s="462" t="str">
        <f t="shared" si="58"/>
        <v>Housing for Special Needs Populations</v>
      </c>
      <c r="J840" s="463"/>
      <c r="K840" s="463"/>
      <c r="L840" s="463"/>
      <c r="M840" s="463"/>
      <c r="N840" s="463"/>
      <c r="O840" s="463"/>
      <c r="P840" s="463"/>
      <c r="Q840" s="463"/>
      <c r="R840" s="463"/>
      <c r="S840" s="463"/>
      <c r="T840" s="464"/>
      <c r="U840" s="448">
        <f t="shared" si="59"/>
        <v>5</v>
      </c>
      <c r="V840" s="449"/>
      <c r="W840" s="450">
        <f t="shared" ca="1" si="60"/>
        <v>0</v>
      </c>
      <c r="X840" s="451"/>
      <c r="AA840" s="410">
        <v>16</v>
      </c>
    </row>
    <row r="841" spans="1:27" ht="21.95" customHeight="1" x14ac:dyDescent="0.2">
      <c r="A841" s="301"/>
      <c r="B841" s="302"/>
      <c r="C841" s="301"/>
      <c r="D841" s="301"/>
      <c r="E841" s="301"/>
      <c r="F841" s="301"/>
      <c r="G841" s="301"/>
      <c r="I841" s="462" t="str">
        <f t="shared" si="58"/>
        <v>Housing for Households Requiring Large Units</v>
      </c>
      <c r="J841" s="463"/>
      <c r="K841" s="463"/>
      <c r="L841" s="463"/>
      <c r="M841" s="463"/>
      <c r="N841" s="463"/>
      <c r="O841" s="463"/>
      <c r="P841" s="463"/>
      <c r="Q841" s="463"/>
      <c r="R841" s="463"/>
      <c r="S841" s="463"/>
      <c r="T841" s="464"/>
      <c r="U841" s="448">
        <f t="shared" si="59"/>
        <v>3</v>
      </c>
      <c r="V841" s="449"/>
      <c r="W841" s="450">
        <f ca="1">VLOOKUP("SECTION_"&amp;AA841&amp;"_SCORE_CURRENT",$A:$B,2,FALSE)</f>
        <v>0</v>
      </c>
      <c r="X841" s="451"/>
      <c r="AA841" s="410">
        <v>22</v>
      </c>
    </row>
    <row r="842" spans="1:27" ht="21.95" customHeight="1" x14ac:dyDescent="0.2">
      <c r="A842" s="301"/>
      <c r="B842" s="302"/>
      <c r="C842" s="301"/>
      <c r="D842" s="301"/>
      <c r="E842" s="301"/>
      <c r="F842" s="301"/>
      <c r="G842" s="301"/>
      <c r="I842" s="462" t="str">
        <f t="shared" si="58"/>
        <v>Housing in Rural Areas</v>
      </c>
      <c r="J842" s="463"/>
      <c r="K842" s="463"/>
      <c r="L842" s="463"/>
      <c r="M842" s="463"/>
      <c r="N842" s="463"/>
      <c r="O842" s="463"/>
      <c r="P842" s="463"/>
      <c r="Q842" s="463"/>
      <c r="R842" s="463"/>
      <c r="S842" s="463"/>
      <c r="T842" s="464"/>
      <c r="U842" s="448">
        <f t="shared" si="59"/>
        <v>5</v>
      </c>
      <c r="V842" s="449"/>
      <c r="W842" s="450">
        <f t="shared" ca="1" si="60"/>
        <v>0</v>
      </c>
      <c r="X842" s="451"/>
      <c r="AA842" s="410">
        <v>17</v>
      </c>
    </row>
    <row r="843" spans="1:27" ht="21.95" customHeight="1" x14ac:dyDescent="0.2">
      <c r="A843" s="301"/>
      <c r="B843" s="302"/>
      <c r="C843" s="301"/>
      <c r="D843" s="301"/>
      <c r="E843" s="301"/>
      <c r="F843" s="301"/>
      <c r="G843" s="301"/>
      <c r="I843" s="462" t="str">
        <f t="shared" si="58"/>
        <v>Promotion of Empowerment</v>
      </c>
      <c r="J843" s="463"/>
      <c r="K843" s="463"/>
      <c r="L843" s="463"/>
      <c r="M843" s="463"/>
      <c r="N843" s="463"/>
      <c r="O843" s="463"/>
      <c r="P843" s="463"/>
      <c r="Q843" s="463"/>
      <c r="R843" s="463"/>
      <c r="S843" s="463"/>
      <c r="T843" s="464"/>
      <c r="U843" s="448">
        <f t="shared" si="59"/>
        <v>5</v>
      </c>
      <c r="V843" s="449"/>
      <c r="W843" s="450">
        <f t="shared" ca="1" si="60"/>
        <v>0</v>
      </c>
      <c r="X843" s="451"/>
      <c r="AA843" s="410">
        <v>15</v>
      </c>
    </row>
    <row r="844" spans="1:27" ht="21.95" customHeight="1" x14ac:dyDescent="0.2">
      <c r="A844" s="301"/>
      <c r="B844" s="302"/>
      <c r="C844" s="301"/>
      <c r="D844" s="301"/>
      <c r="E844" s="301"/>
      <c r="F844" s="301"/>
      <c r="G844" s="301"/>
      <c r="I844" s="462" t="str">
        <f t="shared" si="58"/>
        <v>Community Stability, Including Affordable Housing Preservation</v>
      </c>
      <c r="J844" s="463"/>
      <c r="K844" s="463"/>
      <c r="L844" s="463"/>
      <c r="M844" s="463"/>
      <c r="N844" s="463"/>
      <c r="O844" s="463"/>
      <c r="P844" s="463"/>
      <c r="Q844" s="463"/>
      <c r="R844" s="463"/>
      <c r="S844" s="463"/>
      <c r="T844" s="464"/>
      <c r="U844" s="448">
        <f t="shared" si="59"/>
        <v>14</v>
      </c>
      <c r="V844" s="449"/>
      <c r="W844" s="450">
        <f t="shared" ca="1" si="60"/>
        <v>0</v>
      </c>
      <c r="X844" s="451"/>
      <c r="AA844" s="410">
        <v>21</v>
      </c>
    </row>
    <row r="845" spans="1:27" ht="21.95" customHeight="1" x14ac:dyDescent="0.2">
      <c r="A845" s="301"/>
      <c r="B845" s="302"/>
      <c r="C845" s="301"/>
      <c r="D845" s="301"/>
      <c r="E845" s="301"/>
      <c r="F845" s="301"/>
      <c r="G845" s="301"/>
      <c r="I845" s="462" t="str">
        <f t="shared" si="58"/>
        <v>Project Readiness</v>
      </c>
      <c r="J845" s="463"/>
      <c r="K845" s="463"/>
      <c r="L845" s="463"/>
      <c r="M845" s="463"/>
      <c r="N845" s="463"/>
      <c r="O845" s="463"/>
      <c r="P845" s="463"/>
      <c r="Q845" s="463"/>
      <c r="R845" s="463"/>
      <c r="S845" s="463"/>
      <c r="T845" s="464"/>
      <c r="U845" s="448">
        <f t="shared" si="59"/>
        <v>7</v>
      </c>
      <c r="V845" s="449"/>
      <c r="W845" s="450">
        <f t="shared" ca="1" si="60"/>
        <v>0</v>
      </c>
      <c r="X845" s="451"/>
      <c r="AA845" s="410">
        <v>20</v>
      </c>
    </row>
    <row r="846" spans="1:27" ht="21.95" customHeight="1" x14ac:dyDescent="0.2">
      <c r="A846" s="301"/>
      <c r="B846" s="302"/>
      <c r="C846" s="301"/>
      <c r="D846" s="301"/>
      <c r="E846" s="301"/>
      <c r="F846" s="301"/>
      <c r="G846" s="301"/>
      <c r="I846" s="462" t="str">
        <f t="shared" si="58"/>
        <v>In-District Projects</v>
      </c>
      <c r="J846" s="463"/>
      <c r="K846" s="463"/>
      <c r="L846" s="463"/>
      <c r="M846" s="463"/>
      <c r="N846" s="463"/>
      <c r="O846" s="463"/>
      <c r="P846" s="463"/>
      <c r="Q846" s="463"/>
      <c r="R846" s="463"/>
      <c r="S846" s="463"/>
      <c r="T846" s="464"/>
      <c r="U846" s="448">
        <f t="shared" si="59"/>
        <v>5</v>
      </c>
      <c r="V846" s="449"/>
      <c r="W846" s="450">
        <f t="shared" ca="1" si="60"/>
        <v>0</v>
      </c>
      <c r="X846" s="451"/>
      <c r="AA846" s="410">
        <v>19</v>
      </c>
    </row>
    <row r="847" spans="1:27" ht="21.95" customHeight="1" x14ac:dyDescent="0.2">
      <c r="A847" s="301"/>
      <c r="B847" s="302"/>
      <c r="C847" s="301"/>
      <c r="D847" s="301"/>
      <c r="E847" s="301"/>
      <c r="F847" s="301"/>
      <c r="G847" s="301"/>
      <c r="I847" s="462" t="str">
        <f t="shared" si="58"/>
        <v>Subsidy per Unit</v>
      </c>
      <c r="J847" s="463"/>
      <c r="K847" s="463"/>
      <c r="L847" s="463"/>
      <c r="M847" s="463"/>
      <c r="N847" s="463"/>
      <c r="O847" s="463"/>
      <c r="P847" s="463"/>
      <c r="Q847" s="463"/>
      <c r="R847" s="463"/>
      <c r="S847" s="463"/>
      <c r="T847" s="464"/>
      <c r="U847" s="448">
        <f t="shared" si="59"/>
        <v>12</v>
      </c>
      <c r="V847" s="449"/>
      <c r="W847" s="450">
        <f t="shared" ca="1" si="60"/>
        <v>0</v>
      </c>
      <c r="X847" s="451"/>
      <c r="AA847" s="410">
        <v>23</v>
      </c>
    </row>
    <row r="848" spans="1:27" ht="21.95" customHeight="1" x14ac:dyDescent="0.2">
      <c r="A848" s="301"/>
      <c r="B848" s="302"/>
      <c r="C848" s="301"/>
      <c r="D848" s="301"/>
      <c r="E848" s="301"/>
      <c r="F848" s="301"/>
      <c r="G848" s="301"/>
      <c r="H848" s="439"/>
      <c r="U848" s="436"/>
      <c r="V848" s="437" t="s">
        <v>3859</v>
      </c>
      <c r="W848" s="452">
        <f ca="1">SUM(W835:X847)</f>
        <v>0</v>
      </c>
      <c r="X848" s="452"/>
    </row>
    <row r="849" spans="1:7" ht="21.95" customHeight="1" x14ac:dyDescent="0.2">
      <c r="A849" s="301"/>
      <c r="B849" s="302"/>
      <c r="C849" s="301"/>
      <c r="D849" s="301"/>
      <c r="E849" s="301"/>
      <c r="F849" s="301"/>
      <c r="G849" s="301"/>
    </row>
    <row r="850" spans="1:7" ht="21.95" customHeight="1" x14ac:dyDescent="0.2">
      <c r="A850" s="301"/>
      <c r="B850" s="302"/>
      <c r="C850" s="301"/>
      <c r="D850" s="301"/>
      <c r="E850" s="301"/>
      <c r="F850" s="301"/>
      <c r="G850" s="301"/>
    </row>
    <row r="851" spans="1:7" ht="0" hidden="1" customHeight="1" x14ac:dyDescent="0.2">
      <c r="A851" s="301"/>
      <c r="B851" s="302"/>
      <c r="C851" s="301"/>
      <c r="D851" s="301"/>
      <c r="E851" s="301"/>
      <c r="F851" s="301"/>
      <c r="G851" s="301"/>
    </row>
    <row r="852" spans="1:7" ht="0" hidden="1" customHeight="1" x14ac:dyDescent="0.2">
      <c r="A852" s="301"/>
      <c r="B852" s="302"/>
      <c r="C852" s="301"/>
      <c r="D852" s="301"/>
      <c r="E852" s="301"/>
      <c r="F852" s="301"/>
      <c r="G852" s="301"/>
    </row>
    <row r="853" spans="1:7" ht="0" hidden="1" customHeight="1" x14ac:dyDescent="0.2">
      <c r="A853" s="301"/>
      <c r="B853" s="302"/>
      <c r="C853" s="301"/>
      <c r="D853" s="301"/>
      <c r="E853" s="301"/>
      <c r="F853" s="301"/>
      <c r="G853" s="301"/>
    </row>
    <row r="854" spans="1:7" ht="0" hidden="1" customHeight="1" x14ac:dyDescent="0.2">
      <c r="A854" s="301"/>
      <c r="B854" s="302"/>
      <c r="C854" s="301"/>
      <c r="D854" s="301"/>
      <c r="E854" s="301"/>
      <c r="F854" s="301"/>
      <c r="G854" s="301"/>
    </row>
    <row r="855" spans="1:7" ht="0" hidden="1" customHeight="1" x14ac:dyDescent="0.2">
      <c r="A855" s="301"/>
      <c r="B855" s="302"/>
      <c r="C855" s="301"/>
      <c r="D855" s="301"/>
      <c r="E855" s="301"/>
      <c r="F855" s="301"/>
      <c r="G855" s="301"/>
    </row>
    <row r="856" spans="1:7" ht="0" hidden="1" customHeight="1" x14ac:dyDescent="0.2">
      <c r="A856" s="301"/>
      <c r="B856" s="302"/>
      <c r="C856" s="301"/>
      <c r="D856" s="301"/>
      <c r="E856" s="301"/>
      <c r="F856" s="301"/>
      <c r="G856" s="301"/>
    </row>
    <row r="857" spans="1:7" ht="0" hidden="1" customHeight="1" x14ac:dyDescent="0.2">
      <c r="A857" s="301"/>
      <c r="B857" s="302"/>
      <c r="C857" s="301"/>
      <c r="D857" s="301"/>
      <c r="E857" s="301"/>
      <c r="F857" s="301"/>
      <c r="G857" s="301"/>
    </row>
    <row r="858" spans="1:7" ht="0" hidden="1" customHeight="1" x14ac:dyDescent="0.2">
      <c r="A858" s="301"/>
      <c r="B858" s="302"/>
      <c r="C858" s="301"/>
      <c r="D858" s="301"/>
      <c r="E858" s="301"/>
      <c r="F858" s="301"/>
      <c r="G858" s="301"/>
    </row>
    <row r="859" spans="1:7" ht="0" hidden="1" customHeight="1" x14ac:dyDescent="0.2">
      <c r="A859" s="301"/>
      <c r="B859" s="302"/>
      <c r="C859" s="301"/>
      <c r="D859" s="301"/>
      <c r="E859" s="301"/>
      <c r="F859" s="301"/>
      <c r="G859" s="301"/>
    </row>
    <row r="860" spans="1:7" ht="0" hidden="1" customHeight="1" x14ac:dyDescent="0.2">
      <c r="A860" s="301"/>
      <c r="B860" s="302"/>
      <c r="C860" s="301"/>
      <c r="D860" s="301"/>
      <c r="E860" s="301"/>
      <c r="F860" s="301"/>
      <c r="G860" s="301"/>
    </row>
    <row r="861" spans="1:7" ht="0" hidden="1" customHeight="1" x14ac:dyDescent="0.2">
      <c r="A861" s="301"/>
      <c r="B861" s="302"/>
      <c r="C861" s="301"/>
      <c r="D861" s="301"/>
      <c r="E861" s="301"/>
      <c r="F861" s="301"/>
      <c r="G861" s="301"/>
    </row>
    <row r="862" spans="1:7" ht="0" hidden="1" customHeight="1" x14ac:dyDescent="0.2">
      <c r="A862" s="301"/>
      <c r="B862" s="302"/>
      <c r="C862" s="301"/>
      <c r="D862" s="301"/>
      <c r="E862" s="301"/>
      <c r="F862" s="301"/>
      <c r="G862" s="301"/>
    </row>
    <row r="863" spans="1:7" ht="0" hidden="1" customHeight="1" x14ac:dyDescent="0.2">
      <c r="A863" s="301"/>
      <c r="B863" s="302"/>
      <c r="C863" s="301"/>
      <c r="D863" s="301"/>
      <c r="E863" s="301"/>
      <c r="F863" s="301"/>
      <c r="G863" s="301"/>
    </row>
    <row r="864" spans="1:7" ht="0" hidden="1" customHeight="1" x14ac:dyDescent="0.2">
      <c r="A864" s="301"/>
      <c r="B864" s="302"/>
      <c r="C864" s="301"/>
      <c r="D864" s="301"/>
      <c r="E864" s="301"/>
      <c r="F864" s="301"/>
      <c r="G864" s="301"/>
    </row>
    <row r="865" spans="1:7" ht="0" hidden="1" customHeight="1" x14ac:dyDescent="0.2">
      <c r="A865" s="301"/>
      <c r="B865" s="302"/>
      <c r="C865" s="301"/>
      <c r="D865" s="301"/>
      <c r="E865" s="301"/>
      <c r="F865" s="301"/>
      <c r="G865" s="301"/>
    </row>
    <row r="866" spans="1:7" ht="0" hidden="1" customHeight="1" x14ac:dyDescent="0.2">
      <c r="A866" s="301"/>
      <c r="B866" s="302"/>
      <c r="C866" s="301"/>
      <c r="D866" s="301"/>
      <c r="E866" s="301"/>
      <c r="F866" s="301"/>
      <c r="G866" s="301"/>
    </row>
    <row r="867" spans="1:7" ht="0" hidden="1" customHeight="1" x14ac:dyDescent="0.2">
      <c r="A867" s="301"/>
      <c r="B867" s="302"/>
      <c r="C867" s="301"/>
      <c r="D867" s="301"/>
      <c r="E867" s="301"/>
      <c r="F867" s="301"/>
      <c r="G867" s="301"/>
    </row>
    <row r="868" spans="1:7" ht="0" hidden="1" customHeight="1" x14ac:dyDescent="0.2">
      <c r="A868" s="301"/>
      <c r="B868" s="302"/>
      <c r="C868" s="301"/>
      <c r="D868" s="301"/>
      <c r="E868" s="301"/>
      <c r="F868" s="301"/>
      <c r="G868" s="301"/>
    </row>
    <row r="869" spans="1:7" ht="0" hidden="1" customHeight="1" x14ac:dyDescent="0.2">
      <c r="A869" s="301"/>
      <c r="B869" s="302"/>
      <c r="C869" s="301"/>
      <c r="D869" s="301"/>
      <c r="E869" s="301"/>
      <c r="F869" s="301"/>
      <c r="G869" s="301"/>
    </row>
    <row r="870" spans="1:7" ht="0" hidden="1" customHeight="1" x14ac:dyDescent="0.2">
      <c r="A870" s="301"/>
      <c r="B870" s="302"/>
      <c r="C870" s="301"/>
      <c r="D870" s="301"/>
      <c r="E870" s="301"/>
      <c r="F870" s="301"/>
      <c r="G870" s="301"/>
    </row>
    <row r="871" spans="1:7" ht="0" hidden="1" customHeight="1" x14ac:dyDescent="0.2">
      <c r="A871" s="301"/>
      <c r="B871" s="302"/>
      <c r="C871" s="301"/>
      <c r="D871" s="301"/>
      <c r="E871" s="301"/>
      <c r="F871" s="301"/>
      <c r="G871" s="301"/>
    </row>
    <row r="872" spans="1:7" ht="0" hidden="1" customHeight="1" x14ac:dyDescent="0.2">
      <c r="A872" s="301"/>
      <c r="B872" s="302"/>
      <c r="C872" s="301"/>
      <c r="D872" s="301"/>
      <c r="E872" s="301"/>
      <c r="F872" s="301"/>
      <c r="G872" s="301"/>
    </row>
  </sheetData>
  <sheetProtection algorithmName="SHA-512" hashValue="xq1DywDGWdIB0+HvuQpT4XtehKnVB2VXz1aX6qqi3JsQ/j+FKBDwUTiRPHzR5Op+5NFF/f06Bc9dUVzYHJ6sYw==" saltValue="q4lgEvFuXnO3VxkIMfT8fg==" spinCount="100000" sheet="1" objects="1" scenarios="1" selectLockedCells="1"/>
  <dataConsolidate/>
  <mergeCells count="652">
    <mergeCell ref="I822:W822"/>
    <mergeCell ref="U826:W826"/>
    <mergeCell ref="U828:W828"/>
    <mergeCell ref="U357:W357"/>
    <mergeCell ref="I355:J355"/>
    <mergeCell ref="K355:L355"/>
    <mergeCell ref="I535:W536"/>
    <mergeCell ref="I538:U538"/>
    <mergeCell ref="U539:W539"/>
    <mergeCell ref="I804:W806"/>
    <mergeCell ref="S801:W801"/>
    <mergeCell ref="I668:W680"/>
    <mergeCell ref="I625:W625"/>
    <mergeCell ref="I626:W629"/>
    <mergeCell ref="I634:W634"/>
    <mergeCell ref="I616:W616"/>
    <mergeCell ref="I617:W617"/>
    <mergeCell ref="I618:W620"/>
    <mergeCell ref="I621:W621"/>
    <mergeCell ref="I622:W624"/>
    <mergeCell ref="I645:W645"/>
    <mergeCell ref="I667:U667"/>
    <mergeCell ref="K356:L356"/>
    <mergeCell ref="M356:N356"/>
    <mergeCell ref="I261:W262"/>
    <mergeCell ref="I265:W270"/>
    <mergeCell ref="I357:J357"/>
    <mergeCell ref="K357:L357"/>
    <mergeCell ref="M357:N357"/>
    <mergeCell ref="O357:P357"/>
    <mergeCell ref="Q357:R357"/>
    <mergeCell ref="S357:T357"/>
    <mergeCell ref="U216:W216"/>
    <mergeCell ref="U217:W217"/>
    <mergeCell ref="Q218:W218"/>
    <mergeCell ref="I273:W273"/>
    <mergeCell ref="U351:W351"/>
    <mergeCell ref="I350:J350"/>
    <mergeCell ref="K350:L350"/>
    <mergeCell ref="M350:N350"/>
    <mergeCell ref="O350:P350"/>
    <mergeCell ref="Q350:R350"/>
    <mergeCell ref="S350:T350"/>
    <mergeCell ref="U350:W350"/>
    <mergeCell ref="U352:W352"/>
    <mergeCell ref="I352:J352"/>
    <mergeCell ref="K352:L352"/>
    <mergeCell ref="M352:N352"/>
    <mergeCell ref="O352:P352"/>
    <mergeCell ref="Q352:R352"/>
    <mergeCell ref="S352:T352"/>
    <mergeCell ref="I351:J351"/>
    <mergeCell ref="K351:L351"/>
    <mergeCell ref="M351:N351"/>
    <mergeCell ref="O351:P351"/>
    <mergeCell ref="Q351:R351"/>
    <mergeCell ref="S351:T351"/>
    <mergeCell ref="O356:P356"/>
    <mergeCell ref="Q356:R356"/>
    <mergeCell ref="S356:T356"/>
    <mergeCell ref="U356:W356"/>
    <mergeCell ref="I353:J353"/>
    <mergeCell ref="K353:L353"/>
    <mergeCell ref="M353:N353"/>
    <mergeCell ref="O353:P353"/>
    <mergeCell ref="Q353:R353"/>
    <mergeCell ref="S353:T353"/>
    <mergeCell ref="U353:W353"/>
    <mergeCell ref="I354:J354"/>
    <mergeCell ref="K354:L354"/>
    <mergeCell ref="M354:N354"/>
    <mergeCell ref="M355:N355"/>
    <mergeCell ref="O355:P355"/>
    <mergeCell ref="Q355:R355"/>
    <mergeCell ref="O354:P354"/>
    <mergeCell ref="S355:T355"/>
    <mergeCell ref="U355:W355"/>
    <mergeCell ref="I356:J356"/>
    <mergeCell ref="Q354:R354"/>
    <mergeCell ref="S354:T354"/>
    <mergeCell ref="U354:W354"/>
    <mergeCell ref="I348:J348"/>
    <mergeCell ref="K348:L348"/>
    <mergeCell ref="M348:N348"/>
    <mergeCell ref="O348:P348"/>
    <mergeCell ref="Q348:R348"/>
    <mergeCell ref="S348:T348"/>
    <mergeCell ref="U348:W348"/>
    <mergeCell ref="I349:J349"/>
    <mergeCell ref="K349:L349"/>
    <mergeCell ref="M349:N349"/>
    <mergeCell ref="O349:P349"/>
    <mergeCell ref="Q349:R349"/>
    <mergeCell ref="S349:T349"/>
    <mergeCell ref="U349:W349"/>
    <mergeCell ref="I345:J345"/>
    <mergeCell ref="K345:L345"/>
    <mergeCell ref="M345:N345"/>
    <mergeCell ref="O345:P345"/>
    <mergeCell ref="Q345:R345"/>
    <mergeCell ref="S345:T345"/>
    <mergeCell ref="U345:W345"/>
    <mergeCell ref="I347:J347"/>
    <mergeCell ref="K347:L347"/>
    <mergeCell ref="M347:N347"/>
    <mergeCell ref="O347:P347"/>
    <mergeCell ref="Q347:R347"/>
    <mergeCell ref="S347:T347"/>
    <mergeCell ref="U347:W347"/>
    <mergeCell ref="I343:J343"/>
    <mergeCell ref="K343:L343"/>
    <mergeCell ref="M343:N343"/>
    <mergeCell ref="O343:P343"/>
    <mergeCell ref="Q343:R343"/>
    <mergeCell ref="S343:T343"/>
    <mergeCell ref="U343:W343"/>
    <mergeCell ref="I344:J344"/>
    <mergeCell ref="K344:L344"/>
    <mergeCell ref="M344:N344"/>
    <mergeCell ref="O344:P344"/>
    <mergeCell ref="Q344:R344"/>
    <mergeCell ref="S344:T344"/>
    <mergeCell ref="U344:W344"/>
    <mergeCell ref="I341:J341"/>
    <mergeCell ref="K341:L341"/>
    <mergeCell ref="M341:N341"/>
    <mergeCell ref="O341:P341"/>
    <mergeCell ref="Q341:R341"/>
    <mergeCell ref="S341:T341"/>
    <mergeCell ref="U341:W341"/>
    <mergeCell ref="I342:J342"/>
    <mergeCell ref="K342:L342"/>
    <mergeCell ref="M342:N342"/>
    <mergeCell ref="O342:P342"/>
    <mergeCell ref="Q342:R342"/>
    <mergeCell ref="S342:T342"/>
    <mergeCell ref="U342:W342"/>
    <mergeCell ref="I339:J339"/>
    <mergeCell ref="K339:L339"/>
    <mergeCell ref="M339:N339"/>
    <mergeCell ref="O339:P339"/>
    <mergeCell ref="Q339:R339"/>
    <mergeCell ref="S339:T339"/>
    <mergeCell ref="U339:W339"/>
    <mergeCell ref="I340:J340"/>
    <mergeCell ref="K340:L340"/>
    <mergeCell ref="M340:N340"/>
    <mergeCell ref="O340:P340"/>
    <mergeCell ref="Q340:R340"/>
    <mergeCell ref="S340:T340"/>
    <mergeCell ref="U340:W340"/>
    <mergeCell ref="I337:J337"/>
    <mergeCell ref="K337:L337"/>
    <mergeCell ref="M337:N337"/>
    <mergeCell ref="O337:P337"/>
    <mergeCell ref="Q337:R337"/>
    <mergeCell ref="S337:T337"/>
    <mergeCell ref="U337:W337"/>
    <mergeCell ref="I338:J338"/>
    <mergeCell ref="K338:L338"/>
    <mergeCell ref="M338:N338"/>
    <mergeCell ref="O338:P338"/>
    <mergeCell ref="Q338:R338"/>
    <mergeCell ref="S338:T338"/>
    <mergeCell ref="U338:W338"/>
    <mergeCell ref="I335:J335"/>
    <mergeCell ref="K335:L335"/>
    <mergeCell ref="M335:N335"/>
    <mergeCell ref="O335:P335"/>
    <mergeCell ref="Q335:R335"/>
    <mergeCell ref="S335:T335"/>
    <mergeCell ref="U335:W335"/>
    <mergeCell ref="I323:W323"/>
    <mergeCell ref="I336:J336"/>
    <mergeCell ref="K336:L336"/>
    <mergeCell ref="M336:N336"/>
    <mergeCell ref="O336:P336"/>
    <mergeCell ref="Q336:R336"/>
    <mergeCell ref="S336:T336"/>
    <mergeCell ref="U336:W336"/>
    <mergeCell ref="I306:J306"/>
    <mergeCell ref="K306:L306"/>
    <mergeCell ref="M306:N306"/>
    <mergeCell ref="O306:P306"/>
    <mergeCell ref="Q306:R306"/>
    <mergeCell ref="S306:T306"/>
    <mergeCell ref="U306:W306"/>
    <mergeCell ref="I307:J307"/>
    <mergeCell ref="K307:L307"/>
    <mergeCell ref="M307:N307"/>
    <mergeCell ref="O307:P307"/>
    <mergeCell ref="Q307:R307"/>
    <mergeCell ref="S307:T307"/>
    <mergeCell ref="U307:W307"/>
    <mergeCell ref="I304:J304"/>
    <mergeCell ref="K304:L304"/>
    <mergeCell ref="M304:N304"/>
    <mergeCell ref="O304:P304"/>
    <mergeCell ref="Q304:R304"/>
    <mergeCell ref="S304:T304"/>
    <mergeCell ref="U304:W304"/>
    <mergeCell ref="I305:J305"/>
    <mergeCell ref="K305:L305"/>
    <mergeCell ref="M305:N305"/>
    <mergeCell ref="O305:P305"/>
    <mergeCell ref="Q305:R305"/>
    <mergeCell ref="S305:T305"/>
    <mergeCell ref="U305:W305"/>
    <mergeCell ref="I302:J302"/>
    <mergeCell ref="K302:L302"/>
    <mergeCell ref="M302:N302"/>
    <mergeCell ref="O302:P302"/>
    <mergeCell ref="Q302:R302"/>
    <mergeCell ref="S302:T302"/>
    <mergeCell ref="U302:W302"/>
    <mergeCell ref="I303:J303"/>
    <mergeCell ref="K303:L303"/>
    <mergeCell ref="M303:N303"/>
    <mergeCell ref="O303:P303"/>
    <mergeCell ref="Q303:R303"/>
    <mergeCell ref="S303:T303"/>
    <mergeCell ref="U303:W303"/>
    <mergeCell ref="I300:J300"/>
    <mergeCell ref="K300:L300"/>
    <mergeCell ref="M300:N300"/>
    <mergeCell ref="O300:P300"/>
    <mergeCell ref="Q300:R300"/>
    <mergeCell ref="S300:T300"/>
    <mergeCell ref="U300:W300"/>
    <mergeCell ref="I301:J301"/>
    <mergeCell ref="K301:L301"/>
    <mergeCell ref="M301:N301"/>
    <mergeCell ref="O301:P301"/>
    <mergeCell ref="Q301:R301"/>
    <mergeCell ref="S301:T301"/>
    <mergeCell ref="U301:W301"/>
    <mergeCell ref="I298:J298"/>
    <mergeCell ref="K298:L298"/>
    <mergeCell ref="M298:N298"/>
    <mergeCell ref="O298:P298"/>
    <mergeCell ref="Q298:R298"/>
    <mergeCell ref="S298:T298"/>
    <mergeCell ref="U298:W298"/>
    <mergeCell ref="I299:J299"/>
    <mergeCell ref="K299:L299"/>
    <mergeCell ref="M299:N299"/>
    <mergeCell ref="O299:P299"/>
    <mergeCell ref="Q299:R299"/>
    <mergeCell ref="S299:T299"/>
    <mergeCell ref="U299:W299"/>
    <mergeCell ref="I295:J295"/>
    <mergeCell ref="K295:L295"/>
    <mergeCell ref="M295:N295"/>
    <mergeCell ref="O295:P295"/>
    <mergeCell ref="Q295:R295"/>
    <mergeCell ref="S295:T295"/>
    <mergeCell ref="U295:W295"/>
    <mergeCell ref="I297:J297"/>
    <mergeCell ref="K297:L297"/>
    <mergeCell ref="M297:N297"/>
    <mergeCell ref="O297:P297"/>
    <mergeCell ref="Q297:R297"/>
    <mergeCell ref="S297:T297"/>
    <mergeCell ref="U297:W297"/>
    <mergeCell ref="I293:J293"/>
    <mergeCell ref="K293:L293"/>
    <mergeCell ref="M293:N293"/>
    <mergeCell ref="O293:P293"/>
    <mergeCell ref="Q293:R293"/>
    <mergeCell ref="S293:T293"/>
    <mergeCell ref="U293:W293"/>
    <mergeCell ref="I294:J294"/>
    <mergeCell ref="K294:L294"/>
    <mergeCell ref="M294:N294"/>
    <mergeCell ref="O294:P294"/>
    <mergeCell ref="Q294:R294"/>
    <mergeCell ref="S294:T294"/>
    <mergeCell ref="U294:W294"/>
    <mergeCell ref="I291:J291"/>
    <mergeCell ref="K291:L291"/>
    <mergeCell ref="M291:N291"/>
    <mergeCell ref="O291:P291"/>
    <mergeCell ref="Q291:R291"/>
    <mergeCell ref="S291:T291"/>
    <mergeCell ref="U291:W291"/>
    <mergeCell ref="I292:J292"/>
    <mergeCell ref="K292:L292"/>
    <mergeCell ref="M292:N292"/>
    <mergeCell ref="O292:P292"/>
    <mergeCell ref="Q292:R292"/>
    <mergeCell ref="S292:T292"/>
    <mergeCell ref="U292:W292"/>
    <mergeCell ref="I289:J289"/>
    <mergeCell ref="K289:L289"/>
    <mergeCell ref="M289:N289"/>
    <mergeCell ref="O289:P289"/>
    <mergeCell ref="Q289:R289"/>
    <mergeCell ref="S289:T289"/>
    <mergeCell ref="U289:W289"/>
    <mergeCell ref="I290:J290"/>
    <mergeCell ref="K290:L290"/>
    <mergeCell ref="M290:N290"/>
    <mergeCell ref="O290:P290"/>
    <mergeCell ref="Q290:R290"/>
    <mergeCell ref="S290:T290"/>
    <mergeCell ref="U290:W290"/>
    <mergeCell ref="I795:U795"/>
    <mergeCell ref="I663:W665"/>
    <mergeCell ref="I735:W735"/>
    <mergeCell ref="I746:W746"/>
    <mergeCell ref="I630:W631"/>
    <mergeCell ref="I632:W633"/>
    <mergeCell ref="I701:W701"/>
    <mergeCell ref="I702:W704"/>
    <mergeCell ref="S286:T286"/>
    <mergeCell ref="U286:W286"/>
    <mergeCell ref="I287:J287"/>
    <mergeCell ref="K287:L287"/>
    <mergeCell ref="M287:N287"/>
    <mergeCell ref="O287:P287"/>
    <mergeCell ref="Q287:R287"/>
    <mergeCell ref="S287:T287"/>
    <mergeCell ref="U287:W287"/>
    <mergeCell ref="I288:J288"/>
    <mergeCell ref="K288:L288"/>
    <mergeCell ref="M288:N288"/>
    <mergeCell ref="O288:P288"/>
    <mergeCell ref="Q288:R288"/>
    <mergeCell ref="S288:T288"/>
    <mergeCell ref="U288:W288"/>
    <mergeCell ref="I800:U800"/>
    <mergeCell ref="I802:S803"/>
    <mergeCell ref="U802:W802"/>
    <mergeCell ref="U810:W810"/>
    <mergeCell ref="I811:W813"/>
    <mergeCell ref="I809:U809"/>
    <mergeCell ref="I716:W718"/>
    <mergeCell ref="I719:W719"/>
    <mergeCell ref="I729:W729"/>
    <mergeCell ref="I730:W730"/>
    <mergeCell ref="I782:O782"/>
    <mergeCell ref="Q782:W782"/>
    <mergeCell ref="I784:O784"/>
    <mergeCell ref="S796:W796"/>
    <mergeCell ref="Q784:W784"/>
    <mergeCell ref="I789:W791"/>
    <mergeCell ref="Q779:W780"/>
    <mergeCell ref="I786:U787"/>
    <mergeCell ref="I769:U770"/>
    <mergeCell ref="I761:O761"/>
    <mergeCell ref="Q761:W761"/>
    <mergeCell ref="I762:O762"/>
    <mergeCell ref="I765:O765"/>
    <mergeCell ref="Q765:W765"/>
    <mergeCell ref="I779:O779"/>
    <mergeCell ref="I543:W544"/>
    <mergeCell ref="I547:K547"/>
    <mergeCell ref="M547:W547"/>
    <mergeCell ref="I548:K548"/>
    <mergeCell ref="I756:W757"/>
    <mergeCell ref="I638:W638"/>
    <mergeCell ref="I607:W612"/>
    <mergeCell ref="I797:S798"/>
    <mergeCell ref="U797:W797"/>
    <mergeCell ref="I695:W696"/>
    <mergeCell ref="I697:W698"/>
    <mergeCell ref="I699:W700"/>
    <mergeCell ref="I705:W705"/>
    <mergeCell ref="I714:W714"/>
    <mergeCell ref="I715:W715"/>
    <mergeCell ref="I708:W710"/>
    <mergeCell ref="I688:W688"/>
    <mergeCell ref="I689:W690"/>
    <mergeCell ref="I691:W692"/>
    <mergeCell ref="I693:W694"/>
    <mergeCell ref="I639:W639"/>
    <mergeCell ref="I653:W661"/>
    <mergeCell ref="I643:W644"/>
    <mergeCell ref="I750:W751"/>
    <mergeCell ref="I597:V600"/>
    <mergeCell ref="I602:V603"/>
    <mergeCell ref="I767:O767"/>
    <mergeCell ref="Q767:W767"/>
    <mergeCell ref="I772:W774"/>
    <mergeCell ref="Q762:W763"/>
    <mergeCell ref="I778:O778"/>
    <mergeCell ref="Q778:W778"/>
    <mergeCell ref="I646:W647"/>
    <mergeCell ref="I648:W648"/>
    <mergeCell ref="I652:U652"/>
    <mergeCell ref="I640:W641"/>
    <mergeCell ref="I642:W642"/>
    <mergeCell ref="I682:W684"/>
    <mergeCell ref="I593:V594"/>
    <mergeCell ref="I520:W522"/>
    <mergeCell ref="I524:S524"/>
    <mergeCell ref="T524:W524"/>
    <mergeCell ref="I589:V591"/>
    <mergeCell ref="I580:V582"/>
    <mergeCell ref="I585:V586"/>
    <mergeCell ref="I576:V578"/>
    <mergeCell ref="U493:W493"/>
    <mergeCell ref="I528:S528"/>
    <mergeCell ref="T528:W528"/>
    <mergeCell ref="I529:S529"/>
    <mergeCell ref="T529:W529"/>
    <mergeCell ref="T530:W530"/>
    <mergeCell ref="T531:W531"/>
    <mergeCell ref="O477:W477"/>
    <mergeCell ref="I504:U504"/>
    <mergeCell ref="U505:W505"/>
    <mergeCell ref="I508:W516"/>
    <mergeCell ref="I552:W571"/>
    <mergeCell ref="I498:W498"/>
    <mergeCell ref="I499:W499"/>
    <mergeCell ref="I500:W500"/>
    <mergeCell ref="I501:W501"/>
    <mergeCell ref="I502:W502"/>
    <mergeCell ref="I483:W484"/>
    <mergeCell ref="U494:W494"/>
    <mergeCell ref="I525:S525"/>
    <mergeCell ref="T525:W525"/>
    <mergeCell ref="I526:S526"/>
    <mergeCell ref="T526:W526"/>
    <mergeCell ref="I527:S527"/>
    <mergeCell ref="T527:W527"/>
    <mergeCell ref="I485:W491"/>
    <mergeCell ref="I428:W429"/>
    <mergeCell ref="Q453:W453"/>
    <mergeCell ref="I462:W464"/>
    <mergeCell ref="I424:O424"/>
    <mergeCell ref="Q424:S424"/>
    <mergeCell ref="U424:W424"/>
    <mergeCell ref="I426:M426"/>
    <mergeCell ref="O426:S426"/>
    <mergeCell ref="U426:W426"/>
    <mergeCell ref="I442:W449"/>
    <mergeCell ref="I457:W460"/>
    <mergeCell ref="I417:Q417"/>
    <mergeCell ref="S417:W417"/>
    <mergeCell ref="I421:U421"/>
    <mergeCell ref="I420:W420"/>
    <mergeCell ref="I408:Q408"/>
    <mergeCell ref="S408:W408"/>
    <mergeCell ref="I412:U412"/>
    <mergeCell ref="I415:Q415"/>
    <mergeCell ref="S415:W415"/>
    <mergeCell ref="I390:W394"/>
    <mergeCell ref="I403:U404"/>
    <mergeCell ref="I406:Q406"/>
    <mergeCell ref="S406:W406"/>
    <mergeCell ref="I402:W402"/>
    <mergeCell ref="I411:W411"/>
    <mergeCell ref="O381:P381"/>
    <mergeCell ref="Q381:S381"/>
    <mergeCell ref="U381:W381"/>
    <mergeCell ref="O382:P382"/>
    <mergeCell ref="Q382:S382"/>
    <mergeCell ref="U382:W382"/>
    <mergeCell ref="O384:P384"/>
    <mergeCell ref="Q384:S384"/>
    <mergeCell ref="U384:W384"/>
    <mergeCell ref="N385:W386"/>
    <mergeCell ref="I395:W397"/>
    <mergeCell ref="I398:W400"/>
    <mergeCell ref="O383:P383"/>
    <mergeCell ref="Q383:S383"/>
    <mergeCell ref="U383:W383"/>
    <mergeCell ref="O379:P379"/>
    <mergeCell ref="Q379:S379"/>
    <mergeCell ref="U379:W379"/>
    <mergeCell ref="O380:P380"/>
    <mergeCell ref="Q380:S380"/>
    <mergeCell ref="U380:W380"/>
    <mergeCell ref="O377:P377"/>
    <mergeCell ref="Q377:S377"/>
    <mergeCell ref="U377:W377"/>
    <mergeCell ref="O378:P378"/>
    <mergeCell ref="Q378:S378"/>
    <mergeCell ref="U378:W378"/>
    <mergeCell ref="O375:P375"/>
    <mergeCell ref="Q375:S375"/>
    <mergeCell ref="U375:W375"/>
    <mergeCell ref="O376:P376"/>
    <mergeCell ref="Q376:S376"/>
    <mergeCell ref="U376:W376"/>
    <mergeCell ref="O373:P373"/>
    <mergeCell ref="Q373:S373"/>
    <mergeCell ref="U373:W373"/>
    <mergeCell ref="O374:P374"/>
    <mergeCell ref="Q374:S374"/>
    <mergeCell ref="U374:W374"/>
    <mergeCell ref="I372:K372"/>
    <mergeCell ref="O372:P372"/>
    <mergeCell ref="Q372:T372"/>
    <mergeCell ref="U372:W372"/>
    <mergeCell ref="I368:X369"/>
    <mergeCell ref="I255:W255"/>
    <mergeCell ref="I257:W257"/>
    <mergeCell ref="U212:W212"/>
    <mergeCell ref="I214:W214"/>
    <mergeCell ref="I246:U247"/>
    <mergeCell ref="I321:W321"/>
    <mergeCell ref="I236:W239"/>
    <mergeCell ref="I285:J285"/>
    <mergeCell ref="K285:L285"/>
    <mergeCell ref="M285:N285"/>
    <mergeCell ref="O285:P285"/>
    <mergeCell ref="Q285:R285"/>
    <mergeCell ref="S285:T285"/>
    <mergeCell ref="U285:W285"/>
    <mergeCell ref="I286:J286"/>
    <mergeCell ref="K286:L286"/>
    <mergeCell ref="M286:N286"/>
    <mergeCell ref="O286:P286"/>
    <mergeCell ref="Q286:R286"/>
    <mergeCell ref="X196:X197"/>
    <mergeCell ref="U211:W211"/>
    <mergeCell ref="I117:W120"/>
    <mergeCell ref="S102:W102"/>
    <mergeCell ref="S103:W103"/>
    <mergeCell ref="I105:U106"/>
    <mergeCell ref="U112:W112"/>
    <mergeCell ref="I188:W193"/>
    <mergeCell ref="I101:U101"/>
    <mergeCell ref="I133:U134"/>
    <mergeCell ref="I135:U136"/>
    <mergeCell ref="I137:U138"/>
    <mergeCell ref="I141:W141"/>
    <mergeCell ref="I142:S142"/>
    <mergeCell ref="I143:W146"/>
    <mergeCell ref="I154:W157"/>
    <mergeCell ref="M81:Q81"/>
    <mergeCell ref="S81:W81"/>
    <mergeCell ref="I82:W84"/>
    <mergeCell ref="I86:W86"/>
    <mergeCell ref="I97:U97"/>
    <mergeCell ref="I99:U99"/>
    <mergeCell ref="I76:W78"/>
    <mergeCell ref="I90:Q90"/>
    <mergeCell ref="S90:W90"/>
    <mergeCell ref="I91:W92"/>
    <mergeCell ref="I81:K81"/>
    <mergeCell ref="I19:M19"/>
    <mergeCell ref="Q19:U19"/>
    <mergeCell ref="I20:M20"/>
    <mergeCell ref="Q20:U20"/>
    <mergeCell ref="I21:M21"/>
    <mergeCell ref="Q21:U21"/>
    <mergeCell ref="I44:W44"/>
    <mergeCell ref="I46:O46"/>
    <mergeCell ref="I64:O64"/>
    <mergeCell ref="Q35:W35"/>
    <mergeCell ref="Q50:W50"/>
    <mergeCell ref="I22:M22"/>
    <mergeCell ref="Q22:U22"/>
    <mergeCell ref="I31:W31"/>
    <mergeCell ref="I33:O33"/>
    <mergeCell ref="Q33:U33"/>
    <mergeCell ref="Q26:X26"/>
    <mergeCell ref="Q24:U24"/>
    <mergeCell ref="Q25:U25"/>
    <mergeCell ref="I71:K71"/>
    <mergeCell ref="I75:K75"/>
    <mergeCell ref="M75:S75"/>
    <mergeCell ref="U75:W75"/>
    <mergeCell ref="I51:O51"/>
    <mergeCell ref="I57:W57"/>
    <mergeCell ref="I59:O59"/>
    <mergeCell ref="Q59:W59"/>
    <mergeCell ref="I61:M61"/>
    <mergeCell ref="O61:Q61"/>
    <mergeCell ref="Q63:W63"/>
    <mergeCell ref="I63:O63"/>
    <mergeCell ref="I6:Y6"/>
    <mergeCell ref="I13:M13"/>
    <mergeCell ref="Q13:U13"/>
    <mergeCell ref="I14:M14"/>
    <mergeCell ref="Q14:U14"/>
    <mergeCell ref="I15:M15"/>
    <mergeCell ref="Q15:U15"/>
    <mergeCell ref="I16:M16"/>
    <mergeCell ref="Q16:U16"/>
    <mergeCell ref="U9:X9"/>
    <mergeCell ref="I17:M17"/>
    <mergeCell ref="Q17:U17"/>
    <mergeCell ref="I18:M18"/>
    <mergeCell ref="Q18:U18"/>
    <mergeCell ref="Q23:U23"/>
    <mergeCell ref="I23:M23"/>
    <mergeCell ref="I37:W38"/>
    <mergeCell ref="I720:W725"/>
    <mergeCell ref="I736:W745"/>
    <mergeCell ref="I732:W734"/>
    <mergeCell ref="I179:W187"/>
    <mergeCell ref="Q423:S423"/>
    <mergeCell ref="U423:W423"/>
    <mergeCell ref="I162:W173"/>
    <mergeCell ref="I198:W206"/>
    <mergeCell ref="I233:W235"/>
    <mergeCell ref="I275:W283"/>
    <mergeCell ref="I310:W315"/>
    <mergeCell ref="I325:W333"/>
    <mergeCell ref="I360:W365"/>
    <mergeCell ref="Q46:W46"/>
    <mergeCell ref="I48:M48"/>
    <mergeCell ref="O48:Q48"/>
    <mergeCell ref="I50:O50"/>
    <mergeCell ref="I832:X833"/>
    <mergeCell ref="I834:T834"/>
    <mergeCell ref="U834:V834"/>
    <mergeCell ref="W834:X834"/>
    <mergeCell ref="I835:T835"/>
    <mergeCell ref="U835:V835"/>
    <mergeCell ref="W835:X835"/>
    <mergeCell ref="I836:T836"/>
    <mergeCell ref="U836:V836"/>
    <mergeCell ref="W836:X836"/>
    <mergeCell ref="I837:T837"/>
    <mergeCell ref="U837:V837"/>
    <mergeCell ref="W837:X837"/>
    <mergeCell ref="I838:T838"/>
    <mergeCell ref="U838:V838"/>
    <mergeCell ref="W838:X838"/>
    <mergeCell ref="I839:T839"/>
    <mergeCell ref="U839:V839"/>
    <mergeCell ref="W839:X839"/>
    <mergeCell ref="I840:T840"/>
    <mergeCell ref="U840:V840"/>
    <mergeCell ref="W840:X840"/>
    <mergeCell ref="I841:T841"/>
    <mergeCell ref="U841:V841"/>
    <mergeCell ref="W841:X841"/>
    <mergeCell ref="I842:T842"/>
    <mergeCell ref="U842:V842"/>
    <mergeCell ref="W842:X842"/>
    <mergeCell ref="I846:T846"/>
    <mergeCell ref="U846:V846"/>
    <mergeCell ref="W846:X846"/>
    <mergeCell ref="I847:T847"/>
    <mergeCell ref="U847:V847"/>
    <mergeCell ref="W847:X847"/>
    <mergeCell ref="W848:X848"/>
    <mergeCell ref="I843:T843"/>
    <mergeCell ref="U843:V843"/>
    <mergeCell ref="W843:X843"/>
    <mergeCell ref="I844:T844"/>
    <mergeCell ref="U844:V844"/>
    <mergeCell ref="W844:X844"/>
    <mergeCell ref="I845:T845"/>
    <mergeCell ref="U845:V845"/>
    <mergeCell ref="W845:X845"/>
  </mergeCells>
  <conditionalFormatting sqref="S3">
    <cfRule type="dataBar" priority="174">
      <dataBar>
        <cfvo type="num" val="0"/>
        <cfvo type="num" val="1"/>
        <color theme="6" tint="-0.249977111117893"/>
      </dataBar>
    </cfRule>
  </conditionalFormatting>
  <conditionalFormatting sqref="S796 S801 U810 T531:T532 I548 U505 U816:U817 I420 I402 I411 I64 I51 I762 I779 T534 T539 U494">
    <cfRule type="notContainsBlanks" dxfId="276" priority="173">
      <formula>LEN(TRIM(I51))&gt;0</formula>
    </cfRule>
  </conditionalFormatting>
  <conditionalFormatting sqref="X50 P50 P46 X46 X44 X48 N48 R48 T48">
    <cfRule type="iconSet" priority="172">
      <iconSet iconSet="3Symbols" showValue="0">
        <cfvo type="percent" val="0"/>
        <cfvo type="num" val="0" gte="0"/>
        <cfvo type="num" val="2"/>
      </iconSet>
    </cfRule>
  </conditionalFormatting>
  <conditionalFormatting sqref="X63 P63 P59 X59 X57 X61 N61 R61 T61">
    <cfRule type="iconSet" priority="171">
      <iconSet iconSet="3Symbols" showValue="0">
        <cfvo type="percent" val="0"/>
        <cfvo type="num" val="0" gte="0"/>
        <cfvo type="num" val="2"/>
      </iconSet>
    </cfRule>
  </conditionalFormatting>
  <conditionalFormatting sqref="T8:T9 V8:V9 X8:X9">
    <cfRule type="iconSet" priority="170">
      <iconSet iconSet="3Symbols" showValue="0">
        <cfvo type="percent" val="0"/>
        <cfvo type="num" val="0" gte="0"/>
        <cfvo type="num" val="2"/>
      </iconSet>
    </cfRule>
  </conditionalFormatting>
  <conditionalFormatting sqref="H6">
    <cfRule type="iconSet" priority="168">
      <iconSet iconSet="3Flags" showValue="0">
        <cfvo type="percent" val="0"/>
        <cfvo type="num" val="1"/>
        <cfvo type="num" val="2" gte="0"/>
      </iconSet>
    </cfRule>
    <cfRule type="expression" dxfId="275" priority="169">
      <formula>($B$10=TRUE)</formula>
    </cfRule>
  </conditionalFormatting>
  <conditionalFormatting sqref="I6:Y6">
    <cfRule type="expression" dxfId="274" priority="167">
      <formula>($B$10=TRUE)</formula>
    </cfRule>
  </conditionalFormatting>
  <conditionalFormatting sqref="X37 V33 P33 X31 X33 L35 P35 X35">
    <cfRule type="iconSet" priority="166">
      <iconSet iconSet="3Symbols" showValue="0">
        <cfvo type="percent" val="0"/>
        <cfvo type="num" val="0" gte="0"/>
        <cfvo type="num" val="2"/>
      </iconSet>
    </cfRule>
  </conditionalFormatting>
  <conditionalFormatting sqref="X45">
    <cfRule type="iconSet" priority="165">
      <iconSet iconSet="3Symbols" showValue="0">
        <cfvo type="percent" val="0"/>
        <cfvo type="num" val="0" gte="0"/>
        <cfvo type="num" val="2"/>
      </iconSet>
    </cfRule>
  </conditionalFormatting>
  <conditionalFormatting sqref="X58">
    <cfRule type="iconSet" priority="164">
      <iconSet iconSet="3Symbols" showValue="0">
        <cfvo type="percent" val="0"/>
        <cfvo type="num" val="0" gte="0"/>
        <cfvo type="num" val="2"/>
      </iconSet>
    </cfRule>
  </conditionalFormatting>
  <conditionalFormatting sqref="X90 R90 L71 L75 T75 X75 L81 R81 X81">
    <cfRule type="iconSet" priority="163">
      <iconSet iconSet="3Symbols" showValue="0">
        <cfvo type="percent" val="0"/>
        <cfvo type="num" val="0" gte="0"/>
        <cfvo type="num" val="2"/>
      </iconSet>
    </cfRule>
  </conditionalFormatting>
  <conditionalFormatting sqref="S81 M81">
    <cfRule type="expression" dxfId="273" priority="162">
      <formula>OR($I$81="",$I$71&lt;&gt;"")</formula>
    </cfRule>
  </conditionalFormatting>
  <conditionalFormatting sqref="M75:S75 U75">
    <cfRule type="expression" dxfId="272" priority="161">
      <formula>OR($I$75="",$I$75=0)</formula>
    </cfRule>
  </conditionalFormatting>
  <conditionalFormatting sqref="I81:K81">
    <cfRule type="expression" dxfId="271" priority="160">
      <formula>($I$71&lt;&gt;"")</formula>
    </cfRule>
  </conditionalFormatting>
  <conditionalFormatting sqref="X97 X99 X105 X101:X103">
    <cfRule type="iconSet" priority="157">
      <iconSet iconSet="3Symbols" showValue="0">
        <cfvo type="percent" val="0"/>
        <cfvo type="num" val="0" gte="0"/>
        <cfvo type="num" val="2"/>
      </iconSet>
    </cfRule>
  </conditionalFormatting>
  <conditionalFormatting sqref="S102:S103">
    <cfRule type="expression" dxfId="270" priority="156">
      <formula>UPPER($W$101)&lt;&gt;"YES"</formula>
    </cfRule>
  </conditionalFormatting>
  <conditionalFormatting sqref="X129">
    <cfRule type="iconSet" priority="155">
      <iconSet iconSet="3Symbols" showValue="0">
        <cfvo type="percent" val="0"/>
        <cfvo type="num" val="0" gte="0"/>
        <cfvo type="num" val="2"/>
      </iconSet>
    </cfRule>
  </conditionalFormatting>
  <conditionalFormatting sqref="X154 X198 X179 X162 X122:X124 X117 X128:X129 X150:X152 X112 X114:X115">
    <cfRule type="iconSet" priority="153">
      <iconSet iconSet="3Symbols" showValue="0">
        <cfvo type="percent" val="0"/>
        <cfvo type="num" val="0" gte="0"/>
        <cfvo type="num" val="2"/>
      </iconSet>
    </cfRule>
  </conditionalFormatting>
  <conditionalFormatting sqref="X117">
    <cfRule type="iconSet" priority="152">
      <iconSet iconSet="3Symbols" showValue="0">
        <cfvo type="percent" val="0"/>
        <cfvo type="num" val="0" gte="0"/>
        <cfvo type="num" val="2"/>
      </iconSet>
    </cfRule>
  </conditionalFormatting>
  <conditionalFormatting sqref="I117:W120">
    <cfRule type="expression" dxfId="269" priority="151">
      <formula>(UPPER($W$114)&lt;&gt;"YES")</formula>
    </cfRule>
  </conditionalFormatting>
  <conditionalFormatting sqref="W129">
    <cfRule type="expression" dxfId="268" priority="149">
      <formula>UPPER($W$128)&lt;&gt;"YES"</formula>
    </cfRule>
  </conditionalFormatting>
  <conditionalFormatting sqref="T3">
    <cfRule type="iconSet" priority="146">
      <iconSet iconSet="3Symbols2" showValue="0">
        <cfvo type="percent" val="0"/>
        <cfvo type="num" val="0" gte="0"/>
        <cfvo type="num" val="2"/>
      </iconSet>
    </cfRule>
  </conditionalFormatting>
  <conditionalFormatting sqref="X211:X213 X220:X224">
    <cfRule type="iconSet" priority="145">
      <iconSet iconSet="3Symbols" showValue="0">
        <cfvo type="percent" val="0"/>
        <cfvo type="num" val="0" gte="0"/>
        <cfvo type="num" val="2"/>
      </iconSet>
    </cfRule>
  </conditionalFormatting>
  <conditionalFormatting sqref="P13:P18 P20:P23 X13:X25">
    <cfRule type="iconSet" priority="144">
      <iconSet iconSet="3Symbols2" showValue="0">
        <cfvo type="percent" val="0"/>
        <cfvo type="num" val="0" gte="0"/>
        <cfvo type="num" val="1" gte="0"/>
      </iconSet>
    </cfRule>
  </conditionalFormatting>
  <conditionalFormatting sqref="N13:N18 N20:N23 V13:V25">
    <cfRule type="iconSet" priority="143">
      <iconSet iconSet="3Flags">
        <cfvo type="percent" val="0"/>
        <cfvo type="num" val="0" gte="0"/>
        <cfvo type="num" val="1000" gte="0"/>
      </iconSet>
    </cfRule>
  </conditionalFormatting>
  <conditionalFormatting sqref="I233">
    <cfRule type="expression" dxfId="267" priority="140">
      <formula>AND(UPPER($W$229)&lt;&gt;"YES",UPPER($W$230)&lt;&gt;"YES",UPPER($W$231)&lt;&gt;"YES")</formula>
    </cfRule>
  </conditionalFormatting>
  <conditionalFormatting sqref="W242:W244">
    <cfRule type="expression" dxfId="266" priority="139">
      <formula>UPPER($W$241)&lt;&gt;"YES"</formula>
    </cfRule>
  </conditionalFormatting>
  <conditionalFormatting sqref="X360 X347:X351 X335:X336 X297 X285:X286 X325 X321 X257 X275 X310 X323">
    <cfRule type="iconSet" priority="138">
      <iconSet iconSet="3Symbols" showValue="0">
        <cfvo type="percent" val="0"/>
        <cfvo type="num" val="0" gte="0"/>
        <cfvo type="num" val="2"/>
      </iconSet>
    </cfRule>
  </conditionalFormatting>
  <conditionalFormatting sqref="X257">
    <cfRule type="iconSet" priority="137">
      <iconSet iconSet="3Symbols" showValue="0">
        <cfvo type="percent" val="0"/>
        <cfvo type="num" val="0" gte="0"/>
        <cfvo type="num" val="2"/>
      </iconSet>
    </cfRule>
  </conditionalFormatting>
  <conditionalFormatting sqref="X275">
    <cfRule type="iconSet" priority="135">
      <iconSet iconSet="3Symbols" showValue="0">
        <cfvo type="percent" val="0"/>
        <cfvo type="num" val="0" gte="0"/>
        <cfvo type="num" val="2"/>
      </iconSet>
    </cfRule>
  </conditionalFormatting>
  <conditionalFormatting sqref="X285:X286">
    <cfRule type="iconSet" priority="134">
      <iconSet iconSet="3Symbols" showValue="0">
        <cfvo type="percent" val="0"/>
        <cfvo type="num" val="0" gte="0"/>
        <cfvo type="num" val="2"/>
      </iconSet>
    </cfRule>
  </conditionalFormatting>
  <conditionalFormatting sqref="X297">
    <cfRule type="iconSet" priority="133">
      <iconSet iconSet="3Symbols" showValue="0">
        <cfvo type="percent" val="0"/>
        <cfvo type="num" val="0" gte="0"/>
        <cfvo type="num" val="2"/>
      </iconSet>
    </cfRule>
  </conditionalFormatting>
  <conditionalFormatting sqref="I360 I325 I323:W323 I336:W345 I348:W357">
    <cfRule type="expression" dxfId="265" priority="131">
      <formula>($I$321="")</formula>
    </cfRule>
  </conditionalFormatting>
  <conditionalFormatting sqref="X433:X438 X403 R406 X406 R408 X408 X412 R415 X415 R417 X417 X421 P424 T424 X424 N426 T426 X426">
    <cfRule type="iconSet" priority="129">
      <iconSet iconSet="3Symbols" showValue="0">
        <cfvo type="percent" val="0"/>
        <cfvo type="num" val="0" gte="0"/>
        <cfvo type="num" val="2"/>
      </iconSet>
    </cfRule>
  </conditionalFormatting>
  <conditionalFormatting sqref="I406:Q406 S406 I408 S408">
    <cfRule type="expression" dxfId="264" priority="128">
      <formula>OR($W$403="",$W$403=0)</formula>
    </cfRule>
  </conditionalFormatting>
  <conditionalFormatting sqref="I415:Q415 S415 I417 S417">
    <cfRule type="expression" dxfId="263" priority="127">
      <formula>OR($W$412="",$W$412=0)</formula>
    </cfRule>
  </conditionalFormatting>
  <conditionalFormatting sqref="I426 O426 U426 U424 I424:O424 Q424">
    <cfRule type="expression" dxfId="262" priority="126">
      <formula>OR($W$421="",$W$421=0)</formula>
    </cfRule>
  </conditionalFormatting>
  <conditionalFormatting sqref="X423">
    <cfRule type="iconSet" priority="124">
      <iconSet iconSet="3Flags" showValue="0">
        <cfvo type="percent" val="0"/>
        <cfvo type="num" val="0"/>
        <cfvo type="num" val="2"/>
      </iconSet>
    </cfRule>
  </conditionalFormatting>
  <conditionalFormatting sqref="O13:P18 O20:P23">
    <cfRule type="expression" dxfId="261" priority="122">
      <formula>($P13=0)</formula>
    </cfRule>
    <cfRule type="expression" dxfId="260" priority="123">
      <formula>($P13=2)</formula>
    </cfRule>
  </conditionalFormatting>
  <conditionalFormatting sqref="Q13:U23">
    <cfRule type="expression" dxfId="259" priority="119">
      <formula>LEN($Q13)&lt;=10</formula>
    </cfRule>
  </conditionalFormatting>
  <conditionalFormatting sqref="I13:M18 I20:M23">
    <cfRule type="expression" dxfId="258" priority="118">
      <formula>LEN($I13)&lt;=10</formula>
    </cfRule>
  </conditionalFormatting>
  <conditionalFormatting sqref="L372 T373:T384 X373:X384">
    <cfRule type="iconSet" priority="117">
      <iconSet iconSet="3Symbols" showValue="0">
        <cfvo type="percent" val="0"/>
        <cfvo type="num" val="0" gte="0"/>
        <cfvo type="num" val="2"/>
      </iconSet>
    </cfRule>
  </conditionalFormatting>
  <conditionalFormatting sqref="U373:U382 V373:W374">
    <cfRule type="expression" dxfId="257" priority="116">
      <formula>$Q373=""</formula>
    </cfRule>
  </conditionalFormatting>
  <conditionalFormatting sqref="X477 X466:X473 X456 X453">
    <cfRule type="iconSet" priority="115">
      <iconSet iconSet="3Symbols" showValue="0">
        <cfvo type="percent" val="0"/>
        <cfvo type="num" val="0" gte="0"/>
        <cfvo type="num" val="2"/>
      </iconSet>
    </cfRule>
  </conditionalFormatting>
  <conditionalFormatting sqref="O477 W466:W473">
    <cfRule type="expression" dxfId="256" priority="113">
      <formula>(UPPER($W$456)="NO")</formula>
    </cfRule>
  </conditionalFormatting>
  <conditionalFormatting sqref="X508 X504">
    <cfRule type="iconSet" priority="112">
      <iconSet iconSet="3Symbols" showValue="0">
        <cfvo type="percent" val="0"/>
        <cfvo type="num" val="0" gte="0"/>
        <cfvo type="num" val="2"/>
      </iconSet>
    </cfRule>
  </conditionalFormatting>
  <conditionalFormatting sqref="X588 X575 X579 X592 X596 X601 X584">
    <cfRule type="iconSet" priority="111">
      <iconSet iconSet="3Symbols" showValue="0">
        <cfvo type="percent" val="0"/>
        <cfvo type="num" val="0" gte="0"/>
        <cfvo type="num" val="2"/>
      </iconSet>
    </cfRule>
  </conditionalFormatting>
  <conditionalFormatting sqref="X525:X530">
    <cfRule type="iconSet" priority="110">
      <iconSet iconSet="3Symbols" showValue="0">
        <cfvo type="percent" val="0"/>
        <cfvo type="num" val="0" gte="0"/>
        <cfvo type="num" val="2"/>
      </iconSet>
    </cfRule>
  </conditionalFormatting>
  <conditionalFormatting sqref="L547">
    <cfRule type="iconSet" priority="109">
      <iconSet iconSet="3Symbols" showValue="0">
        <cfvo type="percent" val="0"/>
        <cfvo type="num" val="0" gte="0"/>
        <cfvo type="num" val="2"/>
      </iconSet>
    </cfRule>
  </conditionalFormatting>
  <conditionalFormatting sqref="X547">
    <cfRule type="iconSet" priority="108">
      <iconSet iconSet="3Symbols" showValue="0">
        <cfvo type="percent" val="0"/>
        <cfvo type="num" val="0" gte="0"/>
        <cfvo type="num" val="2"/>
      </iconSet>
    </cfRule>
  </conditionalFormatting>
  <conditionalFormatting sqref="M547:W547">
    <cfRule type="expression" dxfId="255" priority="107">
      <formula>OR($I$547="",$I$547=0)</formula>
    </cfRule>
  </conditionalFormatting>
  <conditionalFormatting sqref="X809 P761 X761 P765 X765 P767 X767 X769 X772 P778 X778 P782 X782 P784 X784 X786 X789 X795 X797 X800 X802 X753">
    <cfRule type="iconSet" priority="106">
      <iconSet iconSet="3Symbols" showValue="0">
        <cfvo type="percent" val="0"/>
        <cfvo type="num" val="0" gte="0"/>
        <cfvo type="num" val="2"/>
      </iconSet>
    </cfRule>
  </conditionalFormatting>
  <conditionalFormatting sqref="I772 Q761 I765 Q765 I767 Q767 W769">
    <cfRule type="expression" dxfId="254" priority="105">
      <formula>OR($I$761=0,$I$761="")</formula>
    </cfRule>
  </conditionalFormatting>
  <conditionalFormatting sqref="I772">
    <cfRule type="expression" dxfId="253" priority="104">
      <formula>UPPER($W$769)&lt;&gt;"YES"</formula>
    </cfRule>
  </conditionalFormatting>
  <conditionalFormatting sqref="I789 Q778 I782 Q782 I784 Q784 W786">
    <cfRule type="expression" dxfId="252" priority="102">
      <formula>OR($I$778="",$I$778=0)</formula>
    </cfRule>
  </conditionalFormatting>
  <conditionalFormatting sqref="I789">
    <cfRule type="expression" dxfId="251" priority="101">
      <formula>UPPER($W$786)&lt;&gt;"YES"</formula>
    </cfRule>
  </conditionalFormatting>
  <conditionalFormatting sqref="I617:W617 I621:W621 I625:W625 I634:W634 I735:W735 I746:W746 I648:W648 I639:W639 I645:W645 I642:W642 I689:W701 I705:W705 I702 I730:W730 I731 I736 I630">
    <cfRule type="expression" dxfId="250" priority="97">
      <formula>($H617="Y")</formula>
    </cfRule>
  </conditionalFormatting>
  <conditionalFormatting sqref="X688 X667 X616 X652 X638 X714 X729">
    <cfRule type="iconSet" priority="94">
      <iconSet iconSet="3Symbols" showValue="0">
        <cfvo type="percent" val="0"/>
        <cfvo type="num" val="0" gte="0"/>
        <cfvo type="num" val="2"/>
      </iconSet>
    </cfRule>
  </conditionalFormatting>
  <conditionalFormatting sqref="I715:W719 I720">
    <cfRule type="expression" dxfId="249" priority="92">
      <formula>$H715="Y"</formula>
    </cfRule>
  </conditionalFormatting>
  <conditionalFormatting sqref="X493">
    <cfRule type="iconSet" priority="87">
      <iconSet iconSet="3Symbols" showValue="0">
        <cfvo type="percent" val="0"/>
        <cfvo type="num" val="0" gte="0"/>
        <cfvo type="num" val="2"/>
      </iconSet>
    </cfRule>
  </conditionalFormatting>
  <conditionalFormatting sqref="X113">
    <cfRule type="iconSet" priority="85">
      <iconSet iconSet="3Symbols" showValue="0">
        <cfvo type="percent" val="0"/>
        <cfvo type="num" val="0" gte="0"/>
        <cfvo type="num" val="2"/>
      </iconSet>
    </cfRule>
  </conditionalFormatting>
  <conditionalFormatting sqref="W795 U797 W800 U802 I789 I778 Q778 I782 Q782 I784 Q784 W786 I772 I761 Q761 I765 Q765 I767 Q767 W769">
    <cfRule type="expression" dxfId="248" priority="82">
      <formula>UPPER($W$753)="YES"</formula>
    </cfRule>
  </conditionalFormatting>
  <conditionalFormatting sqref="I508">
    <cfRule type="expression" dxfId="247" priority="78">
      <formula>OR($W$504="",$W$504=0)</formula>
    </cfRule>
  </conditionalFormatting>
  <conditionalFormatting sqref="I761:O761 I778">
    <cfRule type="expression" dxfId="246" priority="77">
      <formula>P761=""</formula>
    </cfRule>
  </conditionalFormatting>
  <conditionalFormatting sqref="W795 W800">
    <cfRule type="expression" dxfId="245" priority="76">
      <formula>OR($X795="",FULLCONTROL_UNITS="",FULLCONTROL_UNITS&lt;1)</formula>
    </cfRule>
  </conditionalFormatting>
  <conditionalFormatting sqref="U797:W797 U802">
    <cfRule type="expression" dxfId="244" priority="75">
      <formula>OR($X797="",$X797=0)</formula>
    </cfRule>
  </conditionalFormatting>
  <conditionalFormatting sqref="W433:W438">
    <cfRule type="expression" dxfId="243" priority="74">
      <formula>AND(OR($W$403="",$W$403=0),OR($W$412="",$W$412=0),OR($W$421="",$W$421=0))</formula>
    </cfRule>
  </conditionalFormatting>
  <conditionalFormatting sqref="T383 X383">
    <cfRule type="iconSet" priority="73">
      <iconSet iconSet="3Symbols" showValue="0">
        <cfvo type="percent" val="0"/>
        <cfvo type="num" val="0" gte="0"/>
        <cfvo type="num" val="2"/>
      </iconSet>
    </cfRule>
  </conditionalFormatting>
  <conditionalFormatting sqref="U383">
    <cfRule type="expression" dxfId="242" priority="72">
      <formula>$Q383=""</formula>
    </cfRule>
  </conditionalFormatting>
  <conditionalFormatting sqref="T384 X384">
    <cfRule type="iconSet" priority="71">
      <iconSet iconSet="3Symbols" showValue="0">
        <cfvo type="percent" val="0"/>
        <cfvo type="num" val="0" gte="0"/>
        <cfvo type="num" val="2"/>
      </iconSet>
    </cfRule>
  </conditionalFormatting>
  <conditionalFormatting sqref="U384">
    <cfRule type="expression" dxfId="241" priority="70">
      <formula>$Q384=""</formula>
    </cfRule>
  </conditionalFormatting>
  <conditionalFormatting sqref="V8:V9 R8:R9 N8:N9">
    <cfRule type="iconSet" priority="69">
      <iconSet iconSet="3Symbols" showValue="0">
        <cfvo type="percent" val="0"/>
        <cfvo type="num" val="0" gte="0"/>
        <cfvo type="num" val="2"/>
      </iconSet>
    </cfRule>
  </conditionalFormatting>
  <conditionalFormatting sqref="R9 N9 J9">
    <cfRule type="iconSet" priority="68">
      <iconSet iconSet="3Symbols" showValue="0">
        <cfvo type="percent" val="0"/>
        <cfvo type="num" val="0" gte="0"/>
        <cfvo type="num" val="2"/>
      </iconSet>
    </cfRule>
  </conditionalFormatting>
  <conditionalFormatting sqref="X241:X244 X233 X229:X231 X246:X248 X250">
    <cfRule type="iconSet" priority="368">
      <iconSet iconSet="3Symbols" showValue="0">
        <cfvo type="percent" val="0"/>
        <cfvo type="num" val="0" gte="0"/>
        <cfvo type="num" val="2"/>
      </iconSet>
    </cfRule>
  </conditionalFormatting>
  <conditionalFormatting sqref="U423">
    <cfRule type="expression" dxfId="240" priority="515">
      <formula>$X$423=1</formula>
    </cfRule>
  </conditionalFormatting>
  <conditionalFormatting sqref="I71:K71">
    <cfRule type="expression" dxfId="239" priority="525">
      <formula>AND($I$71="",$I$81&lt;&gt;"")</formula>
    </cfRule>
  </conditionalFormatting>
  <conditionalFormatting sqref="I154:W157">
    <cfRule type="expression" dxfId="238" priority="60">
      <formula>UPPER($W$152)&lt;&gt;"YES"</formula>
    </cfRule>
  </conditionalFormatting>
  <conditionalFormatting sqref="W507 W116 W153 W161 W178 W197 W232 W274 W309 W324 W359">
    <cfRule type="expression" dxfId="237" priority="59">
      <formula>UPPER(LEFT(W116,5))="ERROR"</formula>
    </cfRule>
  </conditionalFormatting>
  <conditionalFormatting sqref="W771">
    <cfRule type="expression" dxfId="236" priority="44">
      <formula>UPPER(LEFT(W771,5))="ERROR"</formula>
    </cfRule>
  </conditionalFormatting>
  <conditionalFormatting sqref="W788">
    <cfRule type="expression" dxfId="235" priority="43">
      <formula>UPPER(LEFT(W788,5))="ERROR"</formula>
    </cfRule>
  </conditionalFormatting>
  <conditionalFormatting sqref="W115">
    <cfRule type="expression" dxfId="234" priority="39">
      <formula>NOT(AND(UPPER($W$114)="YES",PROJ_STATE_IN_DISTRICT_FLAG=TRUE))</formula>
    </cfRule>
  </conditionalFormatting>
  <conditionalFormatting sqref="X818">
    <cfRule type="iconSet" priority="38">
      <iconSet iconSet="3Symbols" showValue="0">
        <cfvo type="percent" val="0"/>
        <cfvo type="num" val="0" gte="0"/>
        <cfvo type="num" val="2"/>
      </iconSet>
    </cfRule>
  </conditionalFormatting>
  <conditionalFormatting sqref="S90:W90 I90">
    <cfRule type="expression" dxfId="233" priority="577">
      <formula>($B$95="")</formula>
    </cfRule>
  </conditionalFormatting>
  <conditionalFormatting sqref="N385">
    <cfRule type="notContainsBlanks" dxfId="232" priority="37">
      <formula>LEN(TRIM(N385))&gt;0</formula>
    </cfRule>
  </conditionalFormatting>
  <conditionalFormatting sqref="I732">
    <cfRule type="expression" dxfId="231" priority="35">
      <formula>($B$532&lt;&gt;1)</formula>
    </cfRule>
  </conditionalFormatting>
  <conditionalFormatting sqref="W731">
    <cfRule type="expression" dxfId="230" priority="34">
      <formula>UPPER(LEFT(W731,5))="ERROR"</formula>
    </cfRule>
  </conditionalFormatting>
  <conditionalFormatting sqref="X732">
    <cfRule type="iconSet" priority="33">
      <iconSet iconSet="3Symbols" showValue="0">
        <cfvo type="percent" val="0"/>
        <cfvo type="num" val="0" gte="0"/>
        <cfvo type="num" val="2"/>
      </iconSet>
    </cfRule>
  </conditionalFormatting>
  <conditionalFormatting sqref="X216:X217">
    <cfRule type="iconSet" priority="32">
      <iconSet iconSet="3Symbols" showValue="0">
        <cfvo type="percent" val="0"/>
        <cfvo type="num" val="0" gte="0"/>
        <cfvo type="num" val="2"/>
      </iconSet>
    </cfRule>
  </conditionalFormatting>
  <conditionalFormatting sqref="Q218">
    <cfRule type="notContainsBlanks" dxfId="229" priority="31">
      <formula>LEN(TRIM(Q218))&gt;0</formula>
    </cfRule>
  </conditionalFormatting>
  <conditionalFormatting sqref="X663">
    <cfRule type="iconSet" priority="30">
      <iconSet iconSet="3Symbols" showValue="0">
        <cfvo type="percent" val="0"/>
        <cfvo type="num" val="0" gte="0"/>
        <cfvo type="num" val="2"/>
      </iconSet>
    </cfRule>
  </conditionalFormatting>
  <conditionalFormatting sqref="W662">
    <cfRule type="expression" dxfId="228" priority="29">
      <formula>UPPER(LEFT(W662,5))="ERROR"</formula>
    </cfRule>
  </conditionalFormatting>
  <conditionalFormatting sqref="I663:W665">
    <cfRule type="expression" dxfId="227" priority="28">
      <formula>CS_PROXIMITY_TRANSITLINES_DESC_REQUIRED_FLG=FALSE</formula>
    </cfRule>
  </conditionalFormatting>
  <conditionalFormatting sqref="X682">
    <cfRule type="iconSet" priority="27">
      <iconSet iconSet="3Symbols" showValue="0">
        <cfvo type="percent" val="0"/>
        <cfvo type="num" val="0" gte="0"/>
        <cfvo type="num" val="2"/>
      </iconSet>
    </cfRule>
  </conditionalFormatting>
  <conditionalFormatting sqref="W681">
    <cfRule type="expression" dxfId="226" priority="26">
      <formula>UPPER(LEFT(W681,5))="ERROR"</formula>
    </cfRule>
  </conditionalFormatting>
  <conditionalFormatting sqref="I682:W684">
    <cfRule type="expression" dxfId="225" priority="25">
      <formula>CS_PROXIMITY_AMENITIES_DESC_REQUIRED_FLG&lt;&gt;TRUE</formula>
    </cfRule>
  </conditionalFormatting>
  <conditionalFormatting sqref="X708">
    <cfRule type="iconSet" priority="24">
      <iconSet iconSet="3Symbols" showValue="0">
        <cfvo type="percent" val="0"/>
        <cfvo type="num" val="0" gte="0"/>
        <cfvo type="num" val="2"/>
      </iconSet>
    </cfRule>
  </conditionalFormatting>
  <conditionalFormatting sqref="I708">
    <cfRule type="expression" dxfId="224" priority="23">
      <formula>CS_SUSTAINABLE_DESC_REQUIRED_FLG&lt;&gt;TRUE</formula>
    </cfRule>
  </conditionalFormatting>
  <conditionalFormatting sqref="W707">
    <cfRule type="expression" dxfId="223" priority="22">
      <formula>UPPER(LEFT(W707,5))="ERROR"</formula>
    </cfRule>
  </conditionalFormatting>
  <conditionalFormatting sqref="W142">
    <cfRule type="expression" dxfId="222" priority="21">
      <formula>UPPER(LEFT(W142,5))="ERROR"</formula>
    </cfRule>
  </conditionalFormatting>
  <conditionalFormatting sqref="I143:W146">
    <cfRule type="expression" dxfId="221" priority="20">
      <formula>NOT(OR(UPPER($W$133)="YES",UPPER($W$135)="YES",UPPER($W$137)="YES",UPPER($W$139)="YES"))</formula>
    </cfRule>
  </conditionalFormatting>
  <conditionalFormatting sqref="X133">
    <cfRule type="iconSet" priority="19">
      <iconSet iconSet="3Symbols" showValue="0">
        <cfvo type="percent" val="0"/>
        <cfvo type="num" val="0" gte="0"/>
        <cfvo type="num" val="2"/>
      </iconSet>
    </cfRule>
  </conditionalFormatting>
  <conditionalFormatting sqref="X135">
    <cfRule type="iconSet" priority="18">
      <iconSet iconSet="3Symbols" showValue="0">
        <cfvo type="percent" val="0"/>
        <cfvo type="num" val="0" gte="0"/>
        <cfvo type="num" val="2"/>
      </iconSet>
    </cfRule>
  </conditionalFormatting>
  <conditionalFormatting sqref="X137">
    <cfRule type="iconSet" priority="17">
      <iconSet iconSet="3Symbols" showValue="0">
        <cfvo type="percent" val="0"/>
        <cfvo type="num" val="0" gte="0"/>
        <cfvo type="num" val="2"/>
      </iconSet>
    </cfRule>
  </conditionalFormatting>
  <conditionalFormatting sqref="X139">
    <cfRule type="iconSet" priority="16">
      <iconSet iconSet="3Symbols" showValue="0">
        <cfvo type="percent" val="0"/>
        <cfvo type="num" val="0" gte="0"/>
        <cfvo type="num" val="2"/>
      </iconSet>
    </cfRule>
  </conditionalFormatting>
  <conditionalFormatting sqref="X143">
    <cfRule type="iconSet" priority="15">
      <iconSet iconSet="3Symbols" showValue="0">
        <cfvo type="percent" val="0"/>
        <cfvo type="num" val="0" gte="0"/>
        <cfvo type="num" val="2"/>
      </iconSet>
    </cfRule>
  </conditionalFormatting>
  <conditionalFormatting sqref="X259">
    <cfRule type="iconSet" priority="12">
      <iconSet iconSet="3Flags" showValue="0">
        <cfvo type="percent" val="0"/>
        <cfvo type="num" val="0"/>
        <cfvo type="num" val="2"/>
      </iconSet>
    </cfRule>
  </conditionalFormatting>
  <conditionalFormatting sqref="I259:W260">
    <cfRule type="expression" dxfId="220" priority="11">
      <formula>$X$259=1</formula>
    </cfRule>
  </conditionalFormatting>
  <conditionalFormatting sqref="X263">
    <cfRule type="iconSet" priority="10">
      <iconSet iconSet="3Symbols" showValue="0">
        <cfvo type="percent" val="0"/>
        <cfvo type="num" val="0" gte="0"/>
        <cfvo type="num" val="2"/>
      </iconSet>
    </cfRule>
  </conditionalFormatting>
  <conditionalFormatting sqref="X271">
    <cfRule type="iconSet" priority="9">
      <iconSet iconSet="3Symbols" showValue="0">
        <cfvo type="percent" val="0"/>
        <cfvo type="num" val="0" gte="0"/>
        <cfvo type="num" val="2"/>
      </iconSet>
    </cfRule>
  </conditionalFormatting>
  <conditionalFormatting sqref="X538">
    <cfRule type="iconSet" priority="8">
      <iconSet iconSet="3Symbols" showValue="0">
        <cfvo type="percent" val="0"/>
        <cfvo type="num" val="0" gte="0"/>
        <cfvo type="num" val="2"/>
      </iconSet>
    </cfRule>
  </conditionalFormatting>
  <conditionalFormatting sqref="W538">
    <cfRule type="expression" dxfId="219" priority="7">
      <formula>UPPER($W$753)="YES"</formula>
    </cfRule>
  </conditionalFormatting>
  <conditionalFormatting sqref="W538">
    <cfRule type="expression" dxfId="218" priority="6">
      <formula>$X538=""</formula>
    </cfRule>
  </conditionalFormatting>
  <conditionalFormatting sqref="U539">
    <cfRule type="notContainsBlanks" dxfId="217" priority="5">
      <formula>LEN(TRIM(U539))&gt;0</formula>
    </cfRule>
  </conditionalFormatting>
  <conditionalFormatting sqref="Q24:U25 Q26">
    <cfRule type="expression" dxfId="216" priority="4">
      <formula>LEN($Q24)&lt;=10</formula>
    </cfRule>
  </conditionalFormatting>
  <conditionalFormatting sqref="X824">
    <cfRule type="iconSet" priority="3">
      <iconSet iconSet="3Symbols" showValue="0">
        <cfvo type="percent" val="0"/>
        <cfvo type="num" val="0" gte="0"/>
        <cfvo type="num" val="2"/>
      </iconSet>
    </cfRule>
  </conditionalFormatting>
  <conditionalFormatting sqref="X826">
    <cfRule type="iconSet" priority="2">
      <iconSet iconSet="3Symbols" showValue="0">
        <cfvo type="percent" val="0"/>
        <cfvo type="num" val="0" gte="0"/>
        <cfvo type="num" val="2"/>
      </iconSet>
    </cfRule>
  </conditionalFormatting>
  <conditionalFormatting sqref="X828">
    <cfRule type="iconSet" priority="1">
      <iconSet iconSet="3Symbols" showValue="0">
        <cfvo type="percent" val="0"/>
        <cfvo type="num" val="0" gte="0"/>
        <cfvo type="num" val="2"/>
      </iconSet>
    </cfRule>
  </conditionalFormatting>
  <conditionalFormatting sqref="W13:X25">
    <cfRule type="expression" dxfId="215" priority="120">
      <formula>$X13=2</formula>
    </cfRule>
    <cfRule type="expression" dxfId="214" priority="121">
      <formula>($X13=0)</formula>
    </cfRule>
  </conditionalFormatting>
  <dataValidations count="88">
    <dataValidation type="whole" allowBlank="1" showInputMessage="1" showErrorMessage="1" error="Invalid Value Entered" sqref="W667" xr:uid="{367140F9-7938-4D0E-9FEA-7F445A3ABA86}">
      <formula1>$E526</formula1>
      <formula2>$F526</formula2>
    </dataValidation>
    <dataValidation type="whole" allowBlank="1" showInputMessage="1" showErrorMessage="1" error="Invalid Value Entered" sqref="W652" xr:uid="{1B569820-0F1F-4BF5-974B-5379B324919C}">
      <formula1>$E524</formula1>
      <formula2>$F524</formula2>
    </dataValidation>
    <dataValidation type="whole" allowBlank="1" showInputMessage="1" showErrorMessage="1" error="Whole numbers only, round to nearest dollar" sqref="Q784:W784" xr:uid="{6A2CE08A-4EDA-4A92-9DA7-6A8C2D40F822}">
      <formula1>$E494</formula1>
      <formula2>$F494</formula2>
    </dataValidation>
    <dataValidation type="textLength" allowBlank="1" showInputMessage="1" showErrorMessage="1" error="Maximum Number of Characters Exceeded" sqref="M547:W547" xr:uid="{C21321E9-EC49-4512-A361-68A8B3A93288}">
      <formula1>$E430</formula1>
      <formula2>$F430</formula2>
    </dataValidation>
    <dataValidation type="textLength" allowBlank="1" showInputMessage="1" showErrorMessage="1" error="Maximum Number of Characters Exceeded" sqref="I782:O782" xr:uid="{DE0428F3-5B34-41E3-83FE-3451AF18AE25}">
      <formula1>$E491</formula1>
      <formula2>$F491</formula2>
    </dataValidation>
    <dataValidation type="whole" allowBlank="1" showInputMessage="1" showErrorMessage="1" error="Invalid Value Entered" sqref="I778:O778" xr:uid="{A9ECB58A-EB47-485C-933D-42A13772F4C1}">
      <formula1>$E489</formula1>
      <formula2>$F489</formula2>
    </dataValidation>
    <dataValidation type="whole" allowBlank="1" showInputMessage="1" showErrorMessage="1" error="Whole numbers only, round to nearest dollar" sqref="Q767:W767" xr:uid="{430A15D6-9125-4AF2-BBB7-E7ABBD9813F7}">
      <formula1>$E484</formula1>
      <formula2>$F484</formula2>
    </dataValidation>
    <dataValidation type="whole" allowBlank="1" showInputMessage="1" showErrorMessage="1" error="Invalid Value Entered" sqref="W800" xr:uid="{4C2F30E2-69E6-4436-B249-6DF286C3497E}">
      <formula1>$E503</formula1>
      <formula2>$F503</formula2>
    </dataValidation>
    <dataValidation type="whole" allowBlank="1" showInputMessage="1" showErrorMessage="1" error="Invalid Value Entered" sqref="W795" xr:uid="{896FD638-6A71-4A7C-8E5D-E2A3D71110D7}">
      <formula1>$E501</formula1>
      <formula2>$F501</formula2>
    </dataValidation>
    <dataValidation type="whole" allowBlank="1" showInputMessage="1" showErrorMessage="1" error="Invalid Value Entered" sqref="W504" xr:uid="{A44BEFA8-B8B2-47B5-9C71-BF428769D38B}">
      <formula1>E367</formula1>
      <formula2>F367</formula2>
    </dataValidation>
    <dataValidation type="whole" allowBlank="1" showInputMessage="1" showErrorMessage="1" error="Invalid Value Entered" sqref="W412" xr:uid="{680AE2AE-61EE-4725-A400-E91EDBF04CA9}">
      <formula1>E305</formula1>
      <formula2>F305</formula2>
    </dataValidation>
    <dataValidation type="whole" allowBlank="1" showInputMessage="1" showErrorMessage="1" error="Invalid Value Entered" sqref="W403" xr:uid="{E2AEACB8-C608-4764-8C8B-D70A3AD6B583}">
      <formula1>E300</formula1>
      <formula2>F300</formula2>
    </dataValidation>
    <dataValidation type="whole" allowBlank="1" showInputMessage="1" showErrorMessage="1" error="Invalid Value Entered" sqref="W421" xr:uid="{80CD6D5F-DF89-4456-9970-057506CB7454}">
      <formula1>E310</formula1>
      <formula2>F310</formula2>
    </dataValidation>
    <dataValidation type="whole" allowBlank="1" showInputMessage="1" showErrorMessage="1" error="Invalid Value Entered" sqref="W129" xr:uid="{26496FEA-FC5B-46CC-9693-54C0CB764F1E}">
      <formula1>E143</formula1>
      <formula2>F143</formula2>
    </dataValidation>
    <dataValidation type="textLength" allowBlank="1" showInputMessage="1" showErrorMessage="1" error="Maximum Number of Characters Exceeded" sqref="Q59" xr:uid="{7069EBA7-5547-4E16-85C1-6276D39FC923}">
      <formula1>E60</formula1>
      <formula2>F60</formula2>
    </dataValidation>
    <dataValidation type="textLength" allowBlank="1" showInputMessage="1" showErrorMessage="1" error="Invalid Phone Number Entered" sqref="Q63" xr:uid="{5569F5D3-4C42-457B-94B3-09189EA3AE45}">
      <formula1>E66</formula1>
      <formula2>F66</formula2>
    </dataValidation>
    <dataValidation type="textLength" allowBlank="1" showInputMessage="1" showErrorMessage="1" error="Maximum Number of Characters Exceeded" sqref="I63" xr:uid="{ECF8AF85-9125-48C9-B0A1-2DDDE29B3ECC}">
      <formula1>E65</formula1>
      <formula2>F65</formula2>
    </dataValidation>
    <dataValidation type="textLength" allowBlank="1" showInputMessage="1" showErrorMessage="1" error="Maximum Number of Characters Exceeded" sqref="Q46" xr:uid="{7A4FCB84-69E5-4DEC-B8E6-119B250C7434}">
      <formula1>E40</formula1>
      <formula2>F40</formula2>
    </dataValidation>
    <dataValidation type="textLength" allowBlank="1" showInputMessage="1" showErrorMessage="1" error="Invalid Phone Number Entered" sqref="Q50" xr:uid="{4E2483EE-BEDD-4FB6-BD77-1FBE5E0D53C7}">
      <formula1>E46</formula1>
      <formula2>F46</formula2>
    </dataValidation>
    <dataValidation type="textLength" allowBlank="1" showInputMessage="1" showErrorMessage="1" error="Maximum Number of Characters Exceeded" sqref="I59 I61:M61" xr:uid="{1F286E00-911E-4F8F-8DC2-DC8D307D44ED}">
      <formula1>E59</formula1>
      <formula2>F59</formula2>
    </dataValidation>
    <dataValidation type="textLength" allowBlank="1" showInputMessage="1" showErrorMessage="1" error="Maximum Number of Characters Exceeded" sqref="I57" xr:uid="{788707AE-DCF6-467C-8D16-5E36C9341562}">
      <formula1>E58</formula1>
      <formula2>F58</formula2>
    </dataValidation>
    <dataValidation type="textLength" allowBlank="1" showInputMessage="1" showErrorMessage="1" error="Maximum Number of Characters Exceeded" sqref="I50" xr:uid="{474693F9-983C-45AA-9072-263C2BC98258}">
      <formula1>E45</formula1>
      <formula2>F45</formula2>
    </dataValidation>
    <dataValidation type="textLength" allowBlank="1" showInputMessage="1" showErrorMessage="1" error="Maximum Number of Characters Exceeded" sqref="O48" xr:uid="{FA247C09-E501-4ACE-895B-5B4D92573BC6}">
      <formula1>E42</formula1>
      <formula2>F42</formula2>
    </dataValidation>
    <dataValidation type="textLength" allowBlank="1" showInputMessage="1" showErrorMessage="1" error="Maximum Number of Characters Exceeded" sqref="I46 I48" xr:uid="{D2A17F54-4EC0-4DBA-93E9-7E14FDAFC289}">
      <formula1>E39</formula1>
      <formula2>F39</formula2>
    </dataValidation>
    <dataValidation type="textLength" allowBlank="1" showInputMessage="1" showErrorMessage="1" error="Maximum Number of Characters Exceeded" sqref="I44" xr:uid="{0DFB31DF-FDC2-480E-9954-D73C6BE1C82F}">
      <formula1>E38</formula1>
      <formula2>F38</formula2>
    </dataValidation>
    <dataValidation type="textLength" allowBlank="1" showInputMessage="1" showErrorMessage="1" error="Maximum Number of Characters Exceeded" sqref="I31" xr:uid="{EA4F517A-2C96-4841-80AB-C811DD73C327}">
      <formula1>E19</formula1>
      <formula2>F19</formula2>
    </dataValidation>
    <dataValidation type="textLength" allowBlank="1" showInputMessage="1" showErrorMessage="1" error="Maximum Number of Characters Exceeded" sqref="I33" xr:uid="{FADFAE24-E684-44CD-96C9-80D407471A1F}">
      <formula1>E20</formula1>
      <formula2>F20</formula2>
    </dataValidation>
    <dataValidation type="textLength" allowBlank="1" showInputMessage="1" showErrorMessage="1" error="Maximum Number of Characters Exceeded" sqref="P33" xr:uid="{B58BA1FE-45B3-40CB-81DB-3ECEB8B6525C}">
      <formula1>N32</formula1>
      <formula2>O32</formula2>
    </dataValidation>
    <dataValidation type="whole" allowBlank="1" showInputMessage="1" showErrorMessage="1" error="Invalid Value Entered" sqref="W809" xr:uid="{5FEBD0CC-913E-43F6-BDEA-F9260C7F1F8C}">
      <formula1>$E513</formula1>
      <formula2>$F513</formula2>
    </dataValidation>
    <dataValidation type="textLength" allowBlank="1" showInputMessage="1" showErrorMessage="1" error="Maximum Number of Characters Exceeded" sqref="Q33:U33" xr:uid="{FFCFC1CC-B77D-4855-8D8A-C086039C2591}">
      <formula1>E21</formula1>
      <formula2>F21</formula2>
    </dataValidation>
    <dataValidation type="date" operator="greaterThanOrEqual" allowBlank="1" showInputMessage="1" showErrorMessage="1" error="Please enter a valid date" sqref="V802:W802 V797:W797 V424:W424" xr:uid="{C00F8F6A-3448-416B-88A9-241535ECA4B6}">
      <formula1>1</formula1>
    </dataValidation>
    <dataValidation type="date" operator="greaterThanOrEqual" allowBlank="1" showInputMessage="1" showErrorMessage="1" error="Enter a valid date" sqref="U797 U802 I767 I784 U424 Q424:S424" xr:uid="{00FFB3ED-0804-4A2E-AF5A-099AD94C1185}">
      <formula1>1</formula1>
    </dataValidation>
    <dataValidation type="list" allowBlank="1" showInputMessage="1" showErrorMessage="1" error="Select 'Yes' or 'No'" sqref="W786 W769 W753 W588 W592 W596 W601 W584 W579 W575 W466:W473 W213 W229:W231 W220:W224 W122:W124 W128 W101 W99 W97 W105 W246 W241:W244 W248 W250 W433:W438 W456 W150:W152 W113:W115 W133 W135 W137 W139 W263 W271" xr:uid="{2C3B3C1B-C4CA-4CAE-85C9-D74FB640674A}">
      <formula1>RANGE_LOOKUP_YESNO</formula1>
    </dataValidation>
    <dataValidation type="list" allowBlank="1" showInputMessage="1" showErrorMessage="1" error="Select a value" sqref="Q778:W778" xr:uid="{A6D264C3-6C28-4B7D-9578-48F37A37DFE6}">
      <formula1>LOOKUP_PARTCONTROL_SUPPORTINGDOCS_OWNER</formula1>
    </dataValidation>
    <dataValidation type="list" allowBlank="1" showInputMessage="1" showErrorMessage="1" error="Select a value" sqref="Q761:W761" xr:uid="{A8CB27DC-EBC6-480F-96C2-EE56129C15CF}">
      <formula1>LOOKUP_FULLCONTROL_SUPPORTINGDOCS_OWNER</formula1>
    </dataValidation>
    <dataValidation type="textLength" allowBlank="1" showInputMessage="1" showErrorMessage="1" error="Maximum Number of Characters Exceeded" sqref="Q782:W782" xr:uid="{897D5197-D88B-4EF9-B3DE-73EC8E13C9A7}">
      <formula1>$E492</formula1>
      <formula2>$F492</formula2>
    </dataValidation>
    <dataValidation type="whole" allowBlank="1" showInputMessage="1" showErrorMessage="1" error="Invalid Value Entered" sqref="U493:W493" xr:uid="{15383004-E9CB-450D-9451-CB0111FF7470}">
      <formula1>$E$446</formula1>
      <formula2>$F$446</formula2>
    </dataValidation>
    <dataValidation type="whole" allowBlank="1" showInputMessage="1" showErrorMessage="1" error="Invalid Value Entered" sqref="I547:K547" xr:uid="{DB803012-BF92-450A-8A4D-FB2A0BD83AB4}">
      <formula1>$E$429</formula1>
      <formula2>$F$429</formula2>
    </dataValidation>
    <dataValidation allowBlank="1" showInputMessage="1" showErrorMessage="1" error="Maximum Number of Characters Exceeded" promptTitle="Tips" prompt="(1) To edit content already in this field, Double-Click to place the cursor at a specific location_x000a__x000a_(2) Press Alt+Enter to insert a new line" sqref="I508:W516 I233:W235 I663 I682 I708 I143:W146" xr:uid="{97E42484-5C6A-4C51-AA02-C279C2AEAB89}"/>
    <dataValidation type="list" allowBlank="1" showInputMessage="1" showErrorMessage="1" error="Select a value" sqref="Q453:W453" xr:uid="{9A4E13F3-EB14-42DA-B2EC-F3B10CB06810}">
      <formula1>RANGE_LOOKUP_SPONSTYPE</formula1>
    </dataValidation>
    <dataValidation type="list" allowBlank="1" showInputMessage="1" showErrorMessage="1" error="Select a value" sqref="O477:W477" xr:uid="{2F34F901-CA09-48DE-9781-A3FD1287B84A}">
      <formula1>LOOKUP_DEVELOPER_FEE</formula1>
    </dataValidation>
    <dataValidation type="list" allowBlank="1" showInputMessage="1" showErrorMessage="1" error="Select a value" sqref="U212:W212" xr:uid="{49FC3230-6E8E-411A-842D-C4C49213F4F5}">
      <formula1>LOOKUP_CONSTRUCTIONTIMING</formula1>
    </dataValidation>
    <dataValidation type="list" allowBlank="1" showInputMessage="1" showErrorMessage="1" error="Select a value" sqref="U211:W211" xr:uid="{2D42A5DE-F716-4843-B173-741CE3B82B7D}">
      <formula1>LOOKUP_DISBURSEMENTPHASE</formula1>
    </dataValidation>
    <dataValidation type="list" allowBlank="1" showInputMessage="1" showErrorMessage="1" error="Select a value" sqref="U112:W112" xr:uid="{EB74F286-9B72-4DF3-A9B0-756B5D58721D}">
      <formula1>LOOKUP_PROJFAMILYSIZETYPE</formula1>
    </dataValidation>
    <dataValidation type="list" allowBlank="1" showInputMessage="1" showErrorMessage="1" sqref="O286:P295 O298:P307 O336:P345 O348:P357" xr:uid="{D3489AE1-1ADE-4B5A-876F-AA3494AAD711}">
      <formula1>LOOKUP_PROJECTTYPE_DROPDOWN</formula1>
    </dataValidation>
    <dataValidation type="whole" operator="greaterThanOrEqual" allowBlank="1" showInputMessage="1" showErrorMessage="1" sqref="Q286:R295 Q298:R307 Q336:R345 Q348:R357" xr:uid="{0DDF870C-FE6C-41FC-AD06-1961E5C5B0BF}">
      <formula1>0</formula1>
    </dataValidation>
    <dataValidation type="whole" operator="lessThanOrEqual" allowBlank="1" showInputMessage="1" showErrorMessage="1" sqref="K286:L295 K298:L307 K336:L345 K348:L357" xr:uid="{FD53D08B-AFC1-4134-9ACC-A7EB6B4C97AD}">
      <formula1>9999</formula1>
    </dataValidation>
    <dataValidation type="custom" showInputMessage="1" showErrorMessage="1" errorTitle="No Data Entry" error="Field is Read-Only" sqref="H11" xr:uid="{F454BA52-B38B-46C9-B01C-5C8B15427E27}">
      <formula1>"&lt;0&gt;0"</formula1>
    </dataValidation>
    <dataValidation type="list" showInputMessage="1" showErrorMessage="1" error="Invalid state code selected OR clear selected County before changing state" sqref="W33" xr:uid="{3F3CE275-4327-43FF-B78D-24E2D64C177C}">
      <formula1>IF($Q$35="",RANGE_LOOKUP_STATE,INDIRECT("RANGE_FAKE"))</formula1>
    </dataValidation>
    <dataValidation type="custom" allowBlank="1" showInputMessage="1" showErrorMessage="1" error="Invalid Census Tract Entered" sqref="O35" xr:uid="{6D354936-026F-4C79-BAEE-C50CD13503A9}">
      <formula1>AND(ISNUMBER(TRIM(O35)*1),LEN(O35)=2,IFERROR(SEARCH(".",O35),0)=0)</formula1>
    </dataValidation>
    <dataValidation type="custom" allowBlank="1" showInputMessage="1" showErrorMessage="1" error="Invalid Census Tract Entered" sqref="M35" xr:uid="{B35561BE-1ACB-4071-AE48-54D297F0CA64}">
      <formula1>AND(ISNUMBER(TRIM(M35)*1),LEN(M35)=4,IFERROR(SEARCH(".",M35),0)=0)</formula1>
    </dataValidation>
    <dataValidation type="list" allowBlank="1" showInputMessage="1" showErrorMessage="1" error="Invalid County" sqref="Q35" xr:uid="{07564E8A-9299-47E5-AF2B-0185EC615271}">
      <formula1>IF($W$33&lt;&gt;"",INDIRECT("COUNTY_RANGE_"&amp;$W$33),INDIRECT("RANGE_LOOKUP_COUNTY_PLACEHOLDER"))</formula1>
    </dataValidation>
    <dataValidation type="list" allowBlank="1" showInputMessage="1" showErrorMessage="1" error="Invalid State Code" sqref="S61 S48" xr:uid="{41C05DA3-11D1-4090-BDEF-6C29E037A0F3}">
      <formula1>"AZ,CA,NV,AK,AL,AR,CO,CT,DC,DE,FL,GA,GU,HI,IA,ID,IL,IN,KS,KY,LA,MA,MD,ME,MI,MN,MO,MS,MT,NC,ND,NE,NH,NJ,NM,NY,OH,OK,OR,PA,PR,RI,SC,SD,TN,TX,UT,VA,VI,VT,WA,WI,WV,WY"</formula1>
    </dataValidation>
    <dataValidation type="whole" allowBlank="1" showInputMessage="1" showErrorMessage="1" error="Invalid Zip+4 Entered" sqref="W61 K35 W48" xr:uid="{2AED7BCE-2D3B-4F9B-812A-5D508ED4A379}">
      <formula1>1</formula1>
      <formula2>9999</formula2>
    </dataValidation>
    <dataValidation type="whole" allowBlank="1" showInputMessage="1" showErrorMessage="1" error="Invalid Zip Code Entered" sqref="U61 I35 U48" xr:uid="{2418DE38-A3E0-4F26-B328-9F8F5D0560D6}">
      <formula1>1</formula1>
      <formula2>99999</formula2>
    </dataValidation>
    <dataValidation type="textLength" allowBlank="1" showInputMessage="1" showErrorMessage="1" error="Maximum Number of Characters Exceeded" sqref="I765:O765" xr:uid="{B2CB7AF3-A1C3-42C7-AB09-78864DD39AC6}">
      <formula1>$E481</formula1>
      <formula2>$F481</formula2>
    </dataValidation>
    <dataValidation type="date" operator="greaterThanOrEqual" allowBlank="1" showInputMessage="1" showErrorMessage="1" sqref="U216:W217" xr:uid="{794BC306-DD4D-4A7D-A414-75373E8DA5AD}">
      <formula1>1</formula1>
    </dataValidation>
    <dataValidation type="whole" allowBlank="1" showInputMessage="1" showErrorMessage="1" error="Whole numbers only, round to nearest dollar" sqref="O426:S426" xr:uid="{16E46E57-D9AC-46ED-9681-244573CDF140}">
      <formula1>K273</formula1>
      <formula2>L273</formula2>
    </dataValidation>
    <dataValidation type="whole" allowBlank="1" showInputMessage="1" showErrorMessage="1" error="Invalid Value Entered" sqref="W538" xr:uid="{CA4C84F1-453B-4174-B091-7924BBE059CE}">
      <formula1>$E$549</formula1>
      <formula2>$F$549</formula2>
    </dataValidation>
    <dataValidation type="textLength" allowBlank="1" showInputMessage="1" showErrorMessage="1" error="Maximum Number of Characters Exceeded" sqref="O61:Q61" xr:uid="{0082F845-BCD0-43AE-8C94-F97982E60EF3}">
      <formula1>E62</formula1>
      <formula2>F62</formula2>
    </dataValidation>
    <dataValidation type="whole" allowBlank="1" showInputMessage="1" showErrorMessage="1" error="Whole numbers only, round to nearest dollar" sqref="I75:K75" xr:uid="{21D4F65B-292C-4E59-842F-7C8A866C7F2E}">
      <formula1>E79</formula1>
      <formula2>F79</formula2>
    </dataValidation>
    <dataValidation type="whole" allowBlank="1" showInputMessage="1" showErrorMessage="1" error="Must be greater than 0 and less (or equal to) than Subsidy Cap; whole numbers only, round to nearest dollar" sqref="I71:K71" xr:uid="{1C996849-366C-4EFF-B8F5-B8F2C52276D4}">
      <formula1>E78</formula1>
      <formula2>F78</formula2>
    </dataValidation>
    <dataValidation type="whole" allowBlank="1" showInputMessage="1" showErrorMessage="1" error="Whole numbers only, round to nearest dollar" sqref="I81:K81" xr:uid="{819CF2F2-E79E-4871-B20B-AAC33F16CB5D}">
      <formula1>E82</formula1>
      <formula2>F82</formula2>
    </dataValidation>
    <dataValidation type="textLength" allowBlank="1" showInputMessage="1" showErrorMessage="1" error="Maximum Number of Characters Exceeded" sqref="M81:Q81" xr:uid="{6182B625-6D81-4228-A62D-882B8058849D}">
      <formula1>E83</formula1>
      <formula2>F83</formula2>
    </dataValidation>
    <dataValidation type="decimal" allowBlank="1" showInputMessage="1" showErrorMessage="1" error="Invalid Value Entered" sqref="S81:W81" xr:uid="{BA341797-77FE-4449-BBF7-5059539E43D3}">
      <formula1>E84</formula1>
      <formula2>F84</formula2>
    </dataValidation>
    <dataValidation type="textLength" allowBlank="1" showInputMessage="1" showErrorMessage="1" error="Maximum Number of Characters Exceeded" sqref="M75:S75" xr:uid="{147A2CCF-ABDA-470B-8DA4-FD9C7B4B0C3C}">
      <formula1>E80</formula1>
      <formula2>F80</formula2>
    </dataValidation>
    <dataValidation type="textLength" allowBlank="1" showInputMessage="1" showErrorMessage="1" error="Maximum Number of Characters Exceeded" sqref="U75:W75" xr:uid="{8A347BF4-E3A8-466F-9F8B-35E889692FEB}">
      <formula1>E81</formula1>
      <formula2>F81</formula2>
    </dataValidation>
    <dataValidation type="whole" allowBlank="1" showInputMessage="1" showErrorMessage="1" error="Whole numbers only, round to nearest dollar" sqref="S90:W90" xr:uid="{1AA749AA-668B-4C83-87EC-4633EA0ECACB}">
      <formula1>E96</formula1>
      <formula2>F96</formula2>
    </dataValidation>
    <dataValidation type="textLength" allowBlank="1" showInputMessage="1" showErrorMessage="1" error="Maximum Number of Characters Exceeded" sqref="I90:Q90" xr:uid="{946CDB7A-01C6-4E6B-8594-9A47919D0089}">
      <formula1>E97</formula1>
      <formula2>F97</formula2>
    </dataValidation>
    <dataValidation type="textLength" allowBlank="1" showInputMessage="1" showErrorMessage="1" error="Maximum Number of Characters Exceeded" sqref="S102:W103" xr:uid="{0B127C08-B52D-4900-8903-7A184A92D7F8}">
      <formula1>E112</formula1>
      <formula2>F112</formula2>
    </dataValidation>
    <dataValidation type="textLength" allowBlank="1" showInputMessage="1" showErrorMessage="1" error="Maximum Number of Characters Exceeded" sqref="I257:W257" xr:uid="{1655AE1C-9CE4-4A26-880E-3DFFD0C1AA04}">
      <formula1>E213</formula1>
      <formula2>F213</formula2>
    </dataValidation>
    <dataValidation type="textLength" allowBlank="1" showInputMessage="1" showErrorMessage="1" error="Maximum Number of Characters Exceeded" sqref="I323:W323" xr:uid="{C4A9299D-D422-4E93-AB83-CCCAF9BCE040}">
      <formula1>E234</formula1>
      <formula2>F234</formula2>
    </dataValidation>
    <dataValidation type="textLength" allowBlank="1" showInputMessage="1" showErrorMessage="1" error="Maximum Number of Characters Exceeded" sqref="I321:W321" xr:uid="{1232A93C-21DF-4407-B9A2-49E01F84B524}">
      <formula1>E233</formula1>
      <formula2>F233</formula2>
    </dataValidation>
    <dataValidation type="whole" allowBlank="1" showInputMessage="1" showErrorMessage="1" error="Invalid Value Entered" sqref="Q373:S384" xr:uid="{0F6F85BB-86D7-426F-BB00-D593D9A37DC4}">
      <formula1>E259</formula1>
      <formula2>F259</formula2>
    </dataValidation>
    <dataValidation type="custom" allowBlank="1" showInputMessage="1" showErrorMessage="1" error="Target AMIs in this table must be whole values and may not exceed 80%.  When clicking ‘Retry’ and entering in a valid value, include the ‘%’ sign." sqref="U373:W384" xr:uid="{49D83E9F-7D87-4DCD-B3D3-486DA3449EAB}">
      <formula1>AND(U373&lt;=F271,TRUNC(U373,2)=U373)</formula1>
    </dataValidation>
    <dataValidation type="textLength" allowBlank="1" showInputMessage="1" showErrorMessage="1" error="Maximum Number of Characters Exceeded" sqref="Q765:W765" xr:uid="{A2F4CD1A-B39F-4D39-AB97-6A89088B846C}">
      <formula1>$E482</formula1>
      <formula2>$F482</formula2>
    </dataValidation>
    <dataValidation type="textLength" allowBlank="1" showInputMessage="1" showErrorMessage="1" error="Maximum Number of Characters Exceeded" sqref="I415:Q415" xr:uid="{6FA79E29-9F33-49C6-8566-1BB267955B4C}">
      <formula1>E306</formula1>
      <formula2>F306</formula2>
    </dataValidation>
    <dataValidation type="whole" allowBlank="1" showInputMessage="1" showErrorMessage="1" error="Whole numbers only, round to nearest dollar" sqref="S408:W408" xr:uid="{0B112865-2B03-44B6-A5E1-66042AC74DA2}">
      <formula1>E303</formula1>
      <formula2>F303</formula2>
    </dataValidation>
    <dataValidation type="textLength" allowBlank="1" showInputMessage="1" showErrorMessage="1" error="Maximum Number of Characters Exceeded" sqref="I408:Q408" xr:uid="{AC9D9FE6-071B-4717-9818-01A0388054C0}">
      <formula1>E302</formula1>
      <formula2>F302</formula2>
    </dataValidation>
    <dataValidation type="whole" allowBlank="1" showInputMessage="1" showErrorMessage="1" error="Whole numbers only, round to nearest dollar" sqref="S406:W406" xr:uid="{FEE911B5-00E7-43CE-9801-EDA6FFB89E5E}">
      <formula1>E304</formula1>
      <formula2>F304</formula2>
    </dataValidation>
    <dataValidation type="textLength" allowBlank="1" showInputMessage="1" showErrorMessage="1" error="Maximum Number of Characters Exceeded" sqref="I406:Q406" xr:uid="{7DF2AD31-F761-4A4C-97DF-E9942B17B00F}">
      <formula1>E301</formula1>
      <formula2>F301</formula2>
    </dataValidation>
    <dataValidation type="whole" allowBlank="1" showInputMessage="1" showErrorMessage="1" error="Whole numbers only, round to nearest dollarr" sqref="S415:W415" xr:uid="{903D8DAE-E8C3-4083-A61B-7AD8247F361A}">
      <formula1>E309</formula1>
      <formula2>F309</formula2>
    </dataValidation>
    <dataValidation type="textLength" allowBlank="1" showInputMessage="1" showErrorMessage="1" error="Maximum Number of Characters Exceeded" sqref="I424:O424" xr:uid="{4E636367-61DE-4A4D-84FF-97BE62B2BE1E}">
      <formula1>E311</formula1>
      <formula2>F311</formula2>
    </dataValidation>
    <dataValidation type="whole" allowBlank="1" showInputMessage="1" showErrorMessage="1" error="Whole numbers only, round to nearest dollar" sqref="S417:W417" xr:uid="{1DAD3D83-5F53-4BDF-9237-4C26DB363D48}">
      <formula1>E308</formula1>
      <formula2>F308</formula2>
    </dataValidation>
    <dataValidation type="textLength" allowBlank="1" showInputMessage="1" showErrorMessage="1" error="Maximum Number of Characters Exceeded" sqref="I417:Q417" xr:uid="{E7EA1364-A380-403C-8628-ACCADE4810D2}">
      <formula1>E307</formula1>
      <formula2>F307</formula2>
    </dataValidation>
    <dataValidation type="whole" allowBlank="1" showInputMessage="1" showErrorMessage="1" error="Whole numbers only, round to nearest dollar" sqref="I426:M426" xr:uid="{F74DE0F9-4B8A-44EA-86FF-8FD7E13819D1}">
      <formula1>E314</formula1>
      <formula2>F314</formula2>
    </dataValidation>
    <dataValidation type="whole" allowBlank="1" showInputMessage="1" showErrorMessage="1" error="Invalid Value Entered" sqref="T525:W529" xr:uid="{87156A5C-31C3-4B65-A992-577F54A31DA0}">
      <formula1>E408</formula1>
      <formula2>F408</formula2>
    </dataValidation>
    <dataValidation type="whole" allowBlank="1" showInputMessage="1" showErrorMessage="1" error="Invalid Value Entered" sqref="I761:O761" xr:uid="{72DFE65C-A103-44FA-ABD8-B7A6F5A525E1}">
      <formula1>E479</formula1>
      <formula2>F479</formula2>
    </dataValidation>
  </dataValidations>
  <printOptions horizontalCentered="1"/>
  <pageMargins left="0.25" right="0.25" top="0.5" bottom="0.5" header="0.3" footer="0.3"/>
  <pageSetup fitToHeight="0" orientation="portrait" r:id="rId1"/>
  <headerFooter>
    <oddFooter>&amp;R&amp;8&amp;P of &amp;N&amp;L&amp;"Calibri"&amp;11&amp;K000000&amp;8Affordable Housing Program Application_x000D_&amp;1#&amp;"Calibri"&amp;9&amp;K0000FFFHLBank San Francisco | Internal</oddFooter>
  </headerFooter>
  <rowBreaks count="29" manualBreakCount="29">
    <brk id="72" max="24" man="1"/>
    <brk id="107" max="24" man="1"/>
    <brk id="130" max="24" man="1"/>
    <brk id="158" max="24" man="1"/>
    <brk id="194" max="24" man="1"/>
    <brk id="225" max="24" man="1"/>
    <brk id="251" max="24" man="1"/>
    <brk id="283" max="24" man="1"/>
    <brk id="295" max="24" man="1"/>
    <brk id="316" max="24" man="1"/>
    <brk id="333" max="24" man="1"/>
    <brk id="345" max="24" man="1"/>
    <brk id="366" max="24" man="1"/>
    <brk id="400" max="24" man="1"/>
    <brk id="430" max="24" man="1"/>
    <brk id="460" max="24" man="1"/>
    <brk id="495" max="24" man="1"/>
    <brk id="505" max="24" man="1"/>
    <brk id="540" max="24" man="1"/>
    <brk id="572" max="24" man="1"/>
    <brk id="604" max="24" man="1"/>
    <brk id="635" max="24" man="1"/>
    <brk id="665" max="24" man="1"/>
    <brk id="685" max="24" man="1"/>
    <brk id="711" max="24" man="1"/>
    <brk id="747" max="24" man="1"/>
    <brk id="775" max="24" man="1"/>
    <brk id="806" max="24" man="1"/>
    <brk id="829"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OTHER_DISTRICT_ATLANTA">
              <controlPr defaultSize="0" autoFill="0" autoLine="0" autoPict="0">
                <anchor moveWithCells="1">
                  <from>
                    <xdr:col>8</xdr:col>
                    <xdr:colOff>19050</xdr:colOff>
                    <xdr:row>86</xdr:row>
                    <xdr:rowOff>28575</xdr:rowOff>
                  </from>
                  <to>
                    <xdr:col>8</xdr:col>
                    <xdr:colOff>638175</xdr:colOff>
                    <xdr:row>86</xdr:row>
                    <xdr:rowOff>247650</xdr:rowOff>
                  </to>
                </anchor>
              </controlPr>
            </control>
          </mc:Choice>
        </mc:AlternateContent>
        <mc:AlternateContent xmlns:mc="http://schemas.openxmlformats.org/markup-compatibility/2006">
          <mc:Choice Requires="x14">
            <control shapeId="23554" r:id="rId5" name="OTHER_DISTRICT_CINCINNATI">
              <controlPr defaultSize="0" autoFill="0" autoLine="0" autoPict="0">
                <anchor moveWithCells="1">
                  <from>
                    <xdr:col>18</xdr:col>
                    <xdr:colOff>409575</xdr:colOff>
                    <xdr:row>86</xdr:row>
                    <xdr:rowOff>28575</xdr:rowOff>
                  </from>
                  <to>
                    <xdr:col>20</xdr:col>
                    <xdr:colOff>285750</xdr:colOff>
                    <xdr:row>86</xdr:row>
                    <xdr:rowOff>247650</xdr:rowOff>
                  </to>
                </anchor>
              </controlPr>
            </control>
          </mc:Choice>
        </mc:AlternateContent>
        <mc:AlternateContent xmlns:mc="http://schemas.openxmlformats.org/markup-compatibility/2006">
          <mc:Choice Requires="x14">
            <control shapeId="23555" r:id="rId6" name="OTHER_DISTRICT_DALLAS">
              <controlPr defaultSize="0" autoFill="0" autoLine="0" autoPict="0">
                <anchor moveWithCells="1">
                  <from>
                    <xdr:col>22</xdr:col>
                    <xdr:colOff>28575</xdr:colOff>
                    <xdr:row>86</xdr:row>
                    <xdr:rowOff>28575</xdr:rowOff>
                  </from>
                  <to>
                    <xdr:col>22</xdr:col>
                    <xdr:colOff>647700</xdr:colOff>
                    <xdr:row>86</xdr:row>
                    <xdr:rowOff>247650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14</xdr:col>
                    <xdr:colOff>495300</xdr:colOff>
                    <xdr:row>87</xdr:row>
                    <xdr:rowOff>38100</xdr:rowOff>
                  </from>
                  <to>
                    <xdr:col>16</xdr:col>
                    <xdr:colOff>390525</xdr:colOff>
                    <xdr:row>87</xdr:row>
                    <xdr:rowOff>257175</xdr:rowOff>
                  </to>
                </anchor>
              </controlPr>
            </control>
          </mc:Choice>
        </mc:AlternateContent>
        <mc:AlternateContent xmlns:mc="http://schemas.openxmlformats.org/markup-compatibility/2006">
          <mc:Choice Requires="x14">
            <control shapeId="23557" r:id="rId8" name="OTHER_DISTRICT_PITTSBURGH">
              <controlPr defaultSize="0" autoFill="0" autoLine="0" autoPict="0">
                <anchor moveWithCells="1">
                  <from>
                    <xdr:col>18</xdr:col>
                    <xdr:colOff>409575</xdr:colOff>
                    <xdr:row>87</xdr:row>
                    <xdr:rowOff>38100</xdr:rowOff>
                  </from>
                  <to>
                    <xdr:col>20</xdr:col>
                    <xdr:colOff>295275</xdr:colOff>
                    <xdr:row>87</xdr:row>
                    <xdr:rowOff>257175</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22</xdr:col>
                    <xdr:colOff>28575</xdr:colOff>
                    <xdr:row>87</xdr:row>
                    <xdr:rowOff>38100</xdr:rowOff>
                  </from>
                  <to>
                    <xdr:col>22</xdr:col>
                    <xdr:colOff>647700</xdr:colOff>
                    <xdr:row>87</xdr:row>
                    <xdr:rowOff>257175</xdr:rowOff>
                  </to>
                </anchor>
              </controlPr>
            </control>
          </mc:Choice>
        </mc:AlternateContent>
        <mc:AlternateContent xmlns:mc="http://schemas.openxmlformats.org/markup-compatibility/2006">
          <mc:Choice Requires="x14">
            <control shapeId="23559" r:id="rId10" name="OTHER_DISTRICT_BOSTON">
              <controlPr defaultSize="0" autoFill="0" autoLine="0" autoPict="0">
                <anchor moveWithCells="1">
                  <from>
                    <xdr:col>10</xdr:col>
                    <xdr:colOff>504825</xdr:colOff>
                    <xdr:row>86</xdr:row>
                    <xdr:rowOff>28575</xdr:rowOff>
                  </from>
                  <to>
                    <xdr:col>12</xdr:col>
                    <xdr:colOff>228600</xdr:colOff>
                    <xdr:row>86</xdr:row>
                    <xdr:rowOff>247650</xdr:rowOff>
                  </to>
                </anchor>
              </controlPr>
            </control>
          </mc:Choice>
        </mc:AlternateContent>
        <mc:AlternateContent xmlns:mc="http://schemas.openxmlformats.org/markup-compatibility/2006">
          <mc:Choice Requires="x14">
            <control shapeId="23560" r:id="rId11" name="OTHER_DISTRICT_CHICAGO">
              <controlPr defaultSize="0" autoFill="0" autoLine="0" autoPict="0">
                <anchor moveWithCells="1">
                  <from>
                    <xdr:col>14</xdr:col>
                    <xdr:colOff>495300</xdr:colOff>
                    <xdr:row>86</xdr:row>
                    <xdr:rowOff>28575</xdr:rowOff>
                  </from>
                  <to>
                    <xdr:col>16</xdr:col>
                    <xdr:colOff>219075</xdr:colOff>
                    <xdr:row>86</xdr:row>
                    <xdr:rowOff>247650</xdr:rowOff>
                  </to>
                </anchor>
              </controlPr>
            </control>
          </mc:Choice>
        </mc:AlternateContent>
        <mc:AlternateContent xmlns:mc="http://schemas.openxmlformats.org/markup-compatibility/2006">
          <mc:Choice Requires="x14">
            <control shapeId="23561" r:id="rId12" name="OTHER_DISTRICT_DESMOINES">
              <controlPr defaultSize="0" autoFill="0" autoLine="0" autoPict="0">
                <anchor moveWithCells="1">
                  <from>
                    <xdr:col>8</xdr:col>
                    <xdr:colOff>19050</xdr:colOff>
                    <xdr:row>87</xdr:row>
                    <xdr:rowOff>38100</xdr:rowOff>
                  </from>
                  <to>
                    <xdr:col>9</xdr:col>
                    <xdr:colOff>104775</xdr:colOff>
                    <xdr:row>87</xdr:row>
                    <xdr:rowOff>257175</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10</xdr:col>
                    <xdr:colOff>504825</xdr:colOff>
                    <xdr:row>87</xdr:row>
                    <xdr:rowOff>38100</xdr:rowOff>
                  </from>
                  <to>
                    <xdr:col>12</xdr:col>
                    <xdr:colOff>495300</xdr:colOff>
                    <xdr:row>87</xdr:row>
                    <xdr:rowOff>257175</xdr:rowOff>
                  </to>
                </anchor>
              </controlPr>
            </control>
          </mc:Choice>
        </mc:AlternateContent>
        <mc:AlternateContent xmlns:mc="http://schemas.openxmlformats.org/markup-compatibility/2006">
          <mc:Choice Requires="x14">
            <control shapeId="23564" r:id="rId14" name="Option Button 12">
              <controlPr defaultSize="0" autoFill="0" autoLine="0" autoPict="0">
                <anchor moveWithCells="1">
                  <from>
                    <xdr:col>8</xdr:col>
                    <xdr:colOff>47625</xdr:colOff>
                    <xdr:row>616</xdr:row>
                    <xdr:rowOff>19050</xdr:rowOff>
                  </from>
                  <to>
                    <xdr:col>22</xdr:col>
                    <xdr:colOff>685800</xdr:colOff>
                    <xdr:row>616</xdr:row>
                    <xdr:rowOff>238125</xdr:rowOff>
                  </to>
                </anchor>
              </controlPr>
            </control>
          </mc:Choice>
        </mc:AlternateContent>
        <mc:AlternateContent xmlns:mc="http://schemas.openxmlformats.org/markup-compatibility/2006">
          <mc:Choice Requires="x14">
            <control shapeId="23565" r:id="rId15" name="Option Button 13">
              <controlPr defaultSize="0" autoFill="0" autoLine="0" autoPict="0">
                <anchor moveWithCells="1">
                  <from>
                    <xdr:col>8</xdr:col>
                    <xdr:colOff>47625</xdr:colOff>
                    <xdr:row>620</xdr:row>
                    <xdr:rowOff>19050</xdr:rowOff>
                  </from>
                  <to>
                    <xdr:col>22</xdr:col>
                    <xdr:colOff>666750</xdr:colOff>
                    <xdr:row>620</xdr:row>
                    <xdr:rowOff>238125</xdr:rowOff>
                  </to>
                </anchor>
              </controlPr>
            </control>
          </mc:Choice>
        </mc:AlternateContent>
        <mc:AlternateContent xmlns:mc="http://schemas.openxmlformats.org/markup-compatibility/2006">
          <mc:Choice Requires="x14">
            <control shapeId="23566" r:id="rId16" name="Option Button 14">
              <controlPr defaultSize="0" autoFill="0" autoLine="0" autoPict="0">
                <anchor moveWithCells="1">
                  <from>
                    <xdr:col>8</xdr:col>
                    <xdr:colOff>47625</xdr:colOff>
                    <xdr:row>624</xdr:row>
                    <xdr:rowOff>19050</xdr:rowOff>
                  </from>
                  <to>
                    <xdr:col>22</xdr:col>
                    <xdr:colOff>666750</xdr:colOff>
                    <xdr:row>624</xdr:row>
                    <xdr:rowOff>238125</xdr:rowOff>
                  </to>
                </anchor>
              </controlPr>
            </control>
          </mc:Choice>
        </mc:AlternateContent>
        <mc:AlternateContent xmlns:mc="http://schemas.openxmlformats.org/markup-compatibility/2006">
          <mc:Choice Requires="x14">
            <control shapeId="23574" r:id="rId17" name="Option Button 22">
              <controlPr defaultSize="0" autoFill="0" autoLine="0" autoPict="0">
                <anchor moveWithCells="1">
                  <from>
                    <xdr:col>8</xdr:col>
                    <xdr:colOff>47625</xdr:colOff>
                    <xdr:row>638</xdr:row>
                    <xdr:rowOff>19050</xdr:rowOff>
                  </from>
                  <to>
                    <xdr:col>22</xdr:col>
                    <xdr:colOff>685800</xdr:colOff>
                    <xdr:row>638</xdr:row>
                    <xdr:rowOff>238125</xdr:rowOff>
                  </to>
                </anchor>
              </controlPr>
            </control>
          </mc:Choice>
        </mc:AlternateContent>
        <mc:AlternateContent xmlns:mc="http://schemas.openxmlformats.org/markup-compatibility/2006">
          <mc:Choice Requires="x14">
            <control shapeId="23575" r:id="rId18" name="Option Button 23">
              <controlPr defaultSize="0" autoFill="0" autoLine="0" autoPict="0">
                <anchor moveWithCells="1">
                  <from>
                    <xdr:col>8</xdr:col>
                    <xdr:colOff>47625</xdr:colOff>
                    <xdr:row>641</xdr:row>
                    <xdr:rowOff>28575</xdr:rowOff>
                  </from>
                  <to>
                    <xdr:col>22</xdr:col>
                    <xdr:colOff>666750</xdr:colOff>
                    <xdr:row>641</xdr:row>
                    <xdr:rowOff>247650</xdr:rowOff>
                  </to>
                </anchor>
              </controlPr>
            </control>
          </mc:Choice>
        </mc:AlternateContent>
        <mc:AlternateContent xmlns:mc="http://schemas.openxmlformats.org/markup-compatibility/2006">
          <mc:Choice Requires="x14">
            <control shapeId="23576" r:id="rId19" name="Option Button 24">
              <controlPr defaultSize="0" autoFill="0" autoLine="0" autoPict="0">
                <anchor moveWithCells="1">
                  <from>
                    <xdr:col>8</xdr:col>
                    <xdr:colOff>47625</xdr:colOff>
                    <xdr:row>644</xdr:row>
                    <xdr:rowOff>19050</xdr:rowOff>
                  </from>
                  <to>
                    <xdr:col>22</xdr:col>
                    <xdr:colOff>666750</xdr:colOff>
                    <xdr:row>644</xdr:row>
                    <xdr:rowOff>238125</xdr:rowOff>
                  </to>
                </anchor>
              </controlPr>
            </control>
          </mc:Choice>
        </mc:AlternateContent>
        <mc:AlternateContent xmlns:mc="http://schemas.openxmlformats.org/markup-compatibility/2006">
          <mc:Choice Requires="x14">
            <control shapeId="23578" r:id="rId20" name="Option Button 26">
              <controlPr defaultSize="0" autoFill="0" autoLine="0" autoPict="0">
                <anchor moveWithCells="1">
                  <from>
                    <xdr:col>8</xdr:col>
                    <xdr:colOff>47625</xdr:colOff>
                    <xdr:row>688</xdr:row>
                    <xdr:rowOff>28575</xdr:rowOff>
                  </from>
                  <to>
                    <xdr:col>22</xdr:col>
                    <xdr:colOff>685800</xdr:colOff>
                    <xdr:row>689</xdr:row>
                    <xdr:rowOff>266700</xdr:rowOff>
                  </to>
                </anchor>
              </controlPr>
            </control>
          </mc:Choice>
        </mc:AlternateContent>
        <mc:AlternateContent xmlns:mc="http://schemas.openxmlformats.org/markup-compatibility/2006">
          <mc:Choice Requires="x14">
            <control shapeId="23579" r:id="rId21" name="Option Button 27">
              <controlPr defaultSize="0" autoFill="0" autoLine="0" autoPict="0">
                <anchor moveWithCells="1">
                  <from>
                    <xdr:col>8</xdr:col>
                    <xdr:colOff>47625</xdr:colOff>
                    <xdr:row>692</xdr:row>
                    <xdr:rowOff>28575</xdr:rowOff>
                  </from>
                  <to>
                    <xdr:col>22</xdr:col>
                    <xdr:colOff>666750</xdr:colOff>
                    <xdr:row>693</xdr:row>
                    <xdr:rowOff>257175</xdr:rowOff>
                  </to>
                </anchor>
              </controlPr>
            </control>
          </mc:Choice>
        </mc:AlternateContent>
        <mc:AlternateContent xmlns:mc="http://schemas.openxmlformats.org/markup-compatibility/2006">
          <mc:Choice Requires="x14">
            <control shapeId="23580" r:id="rId22" name="Option Button 28">
              <controlPr defaultSize="0" autoFill="0" autoLine="0" autoPict="0">
                <anchor moveWithCells="1">
                  <from>
                    <xdr:col>8</xdr:col>
                    <xdr:colOff>47625</xdr:colOff>
                    <xdr:row>696</xdr:row>
                    <xdr:rowOff>19050</xdr:rowOff>
                  </from>
                  <to>
                    <xdr:col>22</xdr:col>
                    <xdr:colOff>666750</xdr:colOff>
                    <xdr:row>697</xdr:row>
                    <xdr:rowOff>247650</xdr:rowOff>
                  </to>
                </anchor>
              </controlPr>
            </control>
          </mc:Choice>
        </mc:AlternateContent>
        <mc:AlternateContent xmlns:mc="http://schemas.openxmlformats.org/markup-compatibility/2006">
          <mc:Choice Requires="x14">
            <control shapeId="23582" r:id="rId23" name="Check Box 30">
              <controlPr defaultSize="0" autoFill="0" autoLine="0" autoPict="0">
                <anchor moveWithCells="1">
                  <from>
                    <xdr:col>8</xdr:col>
                    <xdr:colOff>47625</xdr:colOff>
                    <xdr:row>714</xdr:row>
                    <xdr:rowOff>19050</xdr:rowOff>
                  </from>
                  <to>
                    <xdr:col>22</xdr:col>
                    <xdr:colOff>695325</xdr:colOff>
                    <xdr:row>714</xdr:row>
                    <xdr:rowOff>238125</xdr:rowOff>
                  </to>
                </anchor>
              </controlPr>
            </control>
          </mc:Choice>
        </mc:AlternateContent>
        <mc:AlternateContent xmlns:mc="http://schemas.openxmlformats.org/markup-compatibility/2006">
          <mc:Choice Requires="x14">
            <control shapeId="23583" r:id="rId24" name="Check Box 31">
              <controlPr defaultSize="0" autoFill="0" autoLine="0" autoPict="0">
                <anchor moveWithCells="1">
                  <from>
                    <xdr:col>8</xdr:col>
                    <xdr:colOff>47625</xdr:colOff>
                    <xdr:row>718</xdr:row>
                    <xdr:rowOff>28575</xdr:rowOff>
                  </from>
                  <to>
                    <xdr:col>22</xdr:col>
                    <xdr:colOff>695325</xdr:colOff>
                    <xdr:row>718</xdr:row>
                    <xdr:rowOff>247650</xdr:rowOff>
                  </to>
                </anchor>
              </controlPr>
            </control>
          </mc:Choice>
        </mc:AlternateContent>
        <mc:AlternateContent xmlns:mc="http://schemas.openxmlformats.org/markup-compatibility/2006">
          <mc:Choice Requires="x14">
            <control shapeId="23585" r:id="rId25" name="Option Button 33">
              <controlPr defaultSize="0" autoFill="0" autoLine="0" autoPict="0">
                <anchor moveWithCells="1">
                  <from>
                    <xdr:col>8</xdr:col>
                    <xdr:colOff>47625</xdr:colOff>
                    <xdr:row>729</xdr:row>
                    <xdr:rowOff>19050</xdr:rowOff>
                  </from>
                  <to>
                    <xdr:col>22</xdr:col>
                    <xdr:colOff>685800</xdr:colOff>
                    <xdr:row>729</xdr:row>
                    <xdr:rowOff>238125</xdr:rowOff>
                  </to>
                </anchor>
              </controlPr>
            </control>
          </mc:Choice>
        </mc:AlternateContent>
        <mc:AlternateContent xmlns:mc="http://schemas.openxmlformats.org/markup-compatibility/2006">
          <mc:Choice Requires="x14">
            <control shapeId="23586" r:id="rId26" name="Option Button 34">
              <controlPr defaultSize="0" autoFill="0" autoLine="0" autoPict="0">
                <anchor moveWithCells="1">
                  <from>
                    <xdr:col>8</xdr:col>
                    <xdr:colOff>47625</xdr:colOff>
                    <xdr:row>734</xdr:row>
                    <xdr:rowOff>19050</xdr:rowOff>
                  </from>
                  <to>
                    <xdr:col>22</xdr:col>
                    <xdr:colOff>666750</xdr:colOff>
                    <xdr:row>734</xdr:row>
                    <xdr:rowOff>238125</xdr:rowOff>
                  </to>
                </anchor>
              </controlPr>
            </control>
          </mc:Choice>
        </mc:AlternateContent>
        <mc:AlternateContent xmlns:mc="http://schemas.openxmlformats.org/markup-compatibility/2006">
          <mc:Choice Requires="x14">
            <control shapeId="23587" r:id="rId27" name="Option Button 35">
              <controlPr defaultSize="0" autoFill="0" autoLine="0" autoPict="0">
                <anchor moveWithCells="1">
                  <from>
                    <xdr:col>8</xdr:col>
                    <xdr:colOff>47625</xdr:colOff>
                    <xdr:row>745</xdr:row>
                    <xdr:rowOff>19050</xdr:rowOff>
                  </from>
                  <to>
                    <xdr:col>22</xdr:col>
                    <xdr:colOff>666750</xdr:colOff>
                    <xdr:row>745</xdr:row>
                    <xdr:rowOff>238125</xdr:rowOff>
                  </to>
                </anchor>
              </controlPr>
            </control>
          </mc:Choice>
        </mc:AlternateContent>
        <mc:AlternateContent xmlns:mc="http://schemas.openxmlformats.org/markup-compatibility/2006">
          <mc:Choice Requires="x14">
            <control shapeId="23589" r:id="rId28" name="Option Button 37">
              <controlPr defaultSize="0" autoFill="0" autoLine="0" autoPict="0">
                <anchor moveWithCells="1">
                  <from>
                    <xdr:col>8</xdr:col>
                    <xdr:colOff>47625</xdr:colOff>
                    <xdr:row>647</xdr:row>
                    <xdr:rowOff>19050</xdr:rowOff>
                  </from>
                  <to>
                    <xdr:col>22</xdr:col>
                    <xdr:colOff>666750</xdr:colOff>
                    <xdr:row>647</xdr:row>
                    <xdr:rowOff>238125</xdr:rowOff>
                  </to>
                </anchor>
              </controlPr>
            </control>
          </mc:Choice>
        </mc:AlternateContent>
        <mc:AlternateContent xmlns:mc="http://schemas.openxmlformats.org/markup-compatibility/2006">
          <mc:Choice Requires="x14">
            <control shapeId="23567" r:id="rId29" name="Option Button 15">
              <controlPr defaultSize="0" autoFill="0" autoLine="0" autoPict="0">
                <anchor moveWithCells="1">
                  <from>
                    <xdr:col>8</xdr:col>
                    <xdr:colOff>47625</xdr:colOff>
                    <xdr:row>629</xdr:row>
                    <xdr:rowOff>28575</xdr:rowOff>
                  </from>
                  <to>
                    <xdr:col>22</xdr:col>
                    <xdr:colOff>685800</xdr:colOff>
                    <xdr:row>630</xdr:row>
                    <xdr:rowOff>219075</xdr:rowOff>
                  </to>
                </anchor>
              </controlPr>
            </control>
          </mc:Choice>
        </mc:AlternateContent>
        <mc:AlternateContent xmlns:mc="http://schemas.openxmlformats.org/markup-compatibility/2006">
          <mc:Choice Requires="x14">
            <control shapeId="23606" r:id="rId30" name="Option Button 54">
              <controlPr defaultSize="0" autoFill="0" autoLine="0" autoPict="0">
                <anchor moveWithCells="1">
                  <from>
                    <xdr:col>8</xdr:col>
                    <xdr:colOff>57150</xdr:colOff>
                    <xdr:row>633</xdr:row>
                    <xdr:rowOff>19050</xdr:rowOff>
                  </from>
                  <to>
                    <xdr:col>22</xdr:col>
                    <xdr:colOff>695325</xdr:colOff>
                    <xdr:row>633</xdr:row>
                    <xdr:rowOff>257175</xdr:rowOff>
                  </to>
                </anchor>
              </controlPr>
            </control>
          </mc:Choice>
        </mc:AlternateContent>
        <mc:AlternateContent xmlns:mc="http://schemas.openxmlformats.org/markup-compatibility/2006">
          <mc:Choice Requires="x14">
            <control shapeId="23581" r:id="rId31" name="Option Button 29">
              <controlPr defaultSize="0" autoFill="0" autoLine="0" autoPict="0">
                <anchor moveWithCells="1">
                  <from>
                    <xdr:col>8</xdr:col>
                    <xdr:colOff>47625</xdr:colOff>
                    <xdr:row>700</xdr:row>
                    <xdr:rowOff>28575</xdr:rowOff>
                  </from>
                  <to>
                    <xdr:col>22</xdr:col>
                    <xdr:colOff>685800</xdr:colOff>
                    <xdr:row>700</xdr:row>
                    <xdr:rowOff>247650</xdr:rowOff>
                  </to>
                </anchor>
              </controlPr>
            </control>
          </mc:Choice>
        </mc:AlternateContent>
        <mc:AlternateContent xmlns:mc="http://schemas.openxmlformats.org/markup-compatibility/2006">
          <mc:Choice Requires="x14">
            <control shapeId="23617" r:id="rId32" name="Option Button 65">
              <controlPr defaultSize="0" autoFill="0" autoLine="0" autoPict="0">
                <anchor moveWithCells="1">
                  <from>
                    <xdr:col>8</xdr:col>
                    <xdr:colOff>47625</xdr:colOff>
                    <xdr:row>704</xdr:row>
                    <xdr:rowOff>19050</xdr:rowOff>
                  </from>
                  <to>
                    <xdr:col>22</xdr:col>
                    <xdr:colOff>685800</xdr:colOff>
                    <xdr:row>704</xdr:row>
                    <xdr:rowOff>238125</xdr:rowOff>
                  </to>
                </anchor>
              </controlPr>
            </control>
          </mc:Choice>
        </mc:AlternateContent>
        <mc:AlternateContent xmlns:mc="http://schemas.openxmlformats.org/markup-compatibility/2006">
          <mc:Choice Requires="x14">
            <control shapeId="23584" r:id="rId33" name="Group Box 32">
              <controlPr defaultSize="0" autoFill="0" autoPict="0">
                <anchor moveWithCells="1">
                  <from>
                    <xdr:col>8</xdr:col>
                    <xdr:colOff>0</xdr:colOff>
                    <xdr:row>729</xdr:row>
                    <xdr:rowOff>9525</xdr:rowOff>
                  </from>
                  <to>
                    <xdr:col>23</xdr:col>
                    <xdr:colOff>0</xdr:colOff>
                    <xdr:row>746</xdr:row>
                    <xdr:rowOff>0</xdr:rowOff>
                  </to>
                </anchor>
              </controlPr>
            </control>
          </mc:Choice>
        </mc:AlternateContent>
        <mc:AlternateContent xmlns:mc="http://schemas.openxmlformats.org/markup-compatibility/2006">
          <mc:Choice Requires="x14">
            <control shapeId="23577" r:id="rId34" name="Group Box 25">
              <controlPr defaultSize="0" autoFill="0" autoPict="0">
                <anchor moveWithCells="1">
                  <from>
                    <xdr:col>8</xdr:col>
                    <xdr:colOff>0</xdr:colOff>
                    <xdr:row>688</xdr:row>
                    <xdr:rowOff>9525</xdr:rowOff>
                  </from>
                  <to>
                    <xdr:col>23</xdr:col>
                    <xdr:colOff>0</xdr:colOff>
                    <xdr:row>705</xdr:row>
                    <xdr:rowOff>9525</xdr:rowOff>
                  </to>
                </anchor>
              </controlPr>
            </control>
          </mc:Choice>
        </mc:AlternateContent>
        <mc:AlternateContent xmlns:mc="http://schemas.openxmlformats.org/markup-compatibility/2006">
          <mc:Choice Requires="x14">
            <control shapeId="23573" r:id="rId35" name="Group Box 21">
              <controlPr defaultSize="0" autoFill="0" autoPict="0">
                <anchor moveWithCells="1">
                  <from>
                    <xdr:col>8</xdr:col>
                    <xdr:colOff>0</xdr:colOff>
                    <xdr:row>638</xdr:row>
                    <xdr:rowOff>9525</xdr:rowOff>
                  </from>
                  <to>
                    <xdr:col>23</xdr:col>
                    <xdr:colOff>0</xdr:colOff>
                    <xdr:row>648</xdr:row>
                    <xdr:rowOff>0</xdr:rowOff>
                  </to>
                </anchor>
              </controlPr>
            </control>
          </mc:Choice>
        </mc:AlternateContent>
        <mc:AlternateContent xmlns:mc="http://schemas.openxmlformats.org/markup-compatibility/2006">
          <mc:Choice Requires="x14">
            <control shapeId="23563" r:id="rId36" name="Group Box 11">
              <controlPr defaultSize="0" autoFill="0" autoPict="0">
                <anchor moveWithCells="1">
                  <from>
                    <xdr:col>8</xdr:col>
                    <xdr:colOff>0</xdr:colOff>
                    <xdr:row>616</xdr:row>
                    <xdr:rowOff>9525</xdr:rowOff>
                  </from>
                  <to>
                    <xdr:col>23</xdr:col>
                    <xdr:colOff>0</xdr:colOff>
                    <xdr:row>634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27"/>
  <sheetViews>
    <sheetView showGridLines="0" showRowColHeaders="0" topLeftCell="C1" zoomScaleNormal="100" zoomScaleSheetLayoutView="100" workbookViewId="0">
      <selection activeCell="P7" sqref="P7:S7"/>
    </sheetView>
  </sheetViews>
  <sheetFormatPr defaultColWidth="0" defaultRowHeight="12.75" zeroHeight="1" x14ac:dyDescent="0.2"/>
  <cols>
    <col min="1" max="1" width="14.7109375" style="320" hidden="1" customWidth="1"/>
    <col min="2" max="2" width="17.28515625" style="320" hidden="1" customWidth="1"/>
    <col min="3" max="3" width="2.42578125" style="320" customWidth="1"/>
    <col min="4" max="4" width="10.7109375" style="320" customWidth="1"/>
    <col min="5" max="5" width="2.7109375" style="320" customWidth="1"/>
    <col min="6" max="6" width="10.7109375" style="320" customWidth="1"/>
    <col min="7" max="7" width="2.7109375" style="320" customWidth="1"/>
    <col min="8" max="8" width="10.7109375" style="320" customWidth="1"/>
    <col min="9" max="9" width="2.7109375" style="320" customWidth="1"/>
    <col min="10" max="10" width="10.7109375" style="320" customWidth="1"/>
    <col min="11" max="11" width="2.7109375" style="320" customWidth="1"/>
    <col min="12" max="12" width="10.7109375" style="320" customWidth="1"/>
    <col min="13" max="13" width="2.7109375" style="320" customWidth="1"/>
    <col min="14" max="14" width="10.7109375" style="320" customWidth="1"/>
    <col min="15" max="15" width="2.7109375" style="320" customWidth="1"/>
    <col min="16" max="16" width="10.7109375" style="320" customWidth="1"/>
    <col min="17" max="17" width="2.7109375" style="320" customWidth="1"/>
    <col min="18" max="18" width="10.7109375" style="320" customWidth="1"/>
    <col min="19" max="19" width="2.7109375" style="320" customWidth="1"/>
    <col min="20" max="20" width="2.42578125" style="320" customWidth="1"/>
    <col min="21" max="16384" width="9.140625" style="320" hidden="1"/>
  </cols>
  <sheetData>
    <row r="1" spans="1:23" ht="45" customHeight="1" thickBot="1" x14ac:dyDescent="0.25">
      <c r="A1" s="317"/>
      <c r="B1" s="317"/>
      <c r="C1" s="318"/>
      <c r="D1" s="318"/>
      <c r="E1" s="319"/>
      <c r="F1" s="318"/>
      <c r="G1" s="319"/>
      <c r="H1" s="318"/>
      <c r="I1" s="319"/>
      <c r="J1" s="318"/>
      <c r="K1" s="319"/>
      <c r="L1" s="318"/>
      <c r="M1" s="319"/>
      <c r="N1" s="318"/>
      <c r="O1" s="319"/>
      <c r="P1" s="318"/>
      <c r="Q1" s="319"/>
      <c r="R1" s="318"/>
      <c r="S1" s="319"/>
      <c r="T1" s="318"/>
    </row>
    <row r="2" spans="1:23" ht="21" customHeight="1" x14ac:dyDescent="0.2">
      <c r="A2" s="317"/>
      <c r="B2" s="317"/>
      <c r="C2" s="331" t="s">
        <v>374</v>
      </c>
      <c r="D2" s="315"/>
      <c r="E2" s="321"/>
      <c r="F2" s="321"/>
      <c r="G2" s="321"/>
      <c r="H2" s="321"/>
      <c r="I2" s="321"/>
      <c r="J2" s="321"/>
      <c r="K2" s="321"/>
      <c r="L2" s="321"/>
      <c r="M2" s="321"/>
      <c r="N2" s="321"/>
      <c r="O2" s="321"/>
      <c r="P2" s="321"/>
      <c r="Q2" s="321"/>
      <c r="R2" s="321"/>
      <c r="S2" s="321"/>
      <c r="T2" s="321"/>
      <c r="V2" s="322"/>
      <c r="W2" s="323"/>
    </row>
    <row r="3" spans="1:23" ht="21.95" customHeight="1" x14ac:dyDescent="0.2">
      <c r="A3" s="317" t="s">
        <v>371</v>
      </c>
      <c r="B3" s="317" t="str">
        <f>"eForm Version "&amp;'$DB.CONFIG'!D14</f>
        <v>eForm Version 6.0.3</v>
      </c>
      <c r="C3" s="324"/>
    </row>
    <row r="4" spans="1:23" ht="21.95" customHeight="1" x14ac:dyDescent="0.2">
      <c r="A4" s="317"/>
      <c r="B4" s="317"/>
    </row>
    <row r="5" spans="1:23" ht="21.95" customHeight="1" thickBot="1" x14ac:dyDescent="0.25">
      <c r="A5" s="317"/>
      <c r="B5" s="317"/>
      <c r="D5" s="325" t="s">
        <v>2377</v>
      </c>
      <c r="E5" s="326"/>
      <c r="F5" s="326"/>
      <c r="G5" s="326"/>
      <c r="H5" s="326"/>
      <c r="I5" s="326"/>
      <c r="J5" s="326"/>
      <c r="K5" s="326"/>
      <c r="L5" s="326"/>
      <c r="M5" s="326"/>
      <c r="N5" s="326"/>
      <c r="O5" s="326"/>
      <c r="P5" s="326"/>
      <c r="Q5" s="326"/>
      <c r="R5" s="326"/>
      <c r="S5" s="326"/>
    </row>
    <row r="6" spans="1:23" ht="21.95" customHeight="1" x14ac:dyDescent="0.2">
      <c r="A6" s="317"/>
      <c r="B6" s="317"/>
    </row>
    <row r="7" spans="1:23" ht="21.95" customHeight="1" x14ac:dyDescent="0.2">
      <c r="A7" s="317"/>
      <c r="B7" s="317"/>
      <c r="D7" s="322" t="s">
        <v>372</v>
      </c>
      <c r="P7" s="747">
        <v>2021</v>
      </c>
      <c r="Q7" s="747"/>
      <c r="R7" s="747"/>
      <c r="S7" s="747"/>
    </row>
    <row r="8" spans="1:23" ht="21.95" customHeight="1" x14ac:dyDescent="0.2">
      <c r="A8" s="317"/>
      <c r="B8" s="317"/>
      <c r="D8" s="322" t="s">
        <v>40</v>
      </c>
      <c r="P8" s="747" t="s">
        <v>3672</v>
      </c>
      <c r="Q8" s="747"/>
      <c r="R8" s="747"/>
      <c r="S8" s="747"/>
    </row>
    <row r="9" spans="1:23" ht="21.95" customHeight="1" x14ac:dyDescent="0.2">
      <c r="A9" s="317"/>
      <c r="B9" s="317"/>
      <c r="D9" s="322" t="s">
        <v>373</v>
      </c>
      <c r="P9" s="748">
        <v>1250000</v>
      </c>
      <c r="Q9" s="748"/>
      <c r="R9" s="748"/>
      <c r="S9" s="748"/>
    </row>
    <row r="10" spans="1:23" ht="21.95" customHeight="1" x14ac:dyDescent="0.2">
      <c r="A10" s="317"/>
      <c r="B10" s="317"/>
      <c r="D10" s="322"/>
      <c r="P10" s="327"/>
      <c r="Q10" s="327"/>
      <c r="R10" s="327"/>
      <c r="S10" s="327"/>
    </row>
    <row r="11" spans="1:23" ht="21.95" customHeight="1" x14ac:dyDescent="0.2">
      <c r="A11" s="317"/>
      <c r="B11" s="317"/>
      <c r="D11" s="322"/>
      <c r="P11" s="327"/>
      <c r="Q11" s="327"/>
      <c r="R11" s="327"/>
      <c r="S11" s="327"/>
    </row>
    <row r="12" spans="1:23" ht="21.95" customHeight="1" thickBot="1" x14ac:dyDescent="0.25">
      <c r="A12" s="317"/>
      <c r="B12" s="317"/>
      <c r="D12" s="325" t="s">
        <v>2386</v>
      </c>
      <c r="E12" s="326"/>
      <c r="F12" s="326"/>
      <c r="G12" s="326"/>
      <c r="H12" s="326"/>
      <c r="I12" s="326"/>
      <c r="J12" s="326"/>
      <c r="K12" s="326"/>
      <c r="L12" s="326"/>
      <c r="M12" s="326"/>
      <c r="N12" s="326"/>
      <c r="O12" s="326"/>
      <c r="P12" s="326"/>
      <c r="Q12" s="326"/>
      <c r="R12" s="326"/>
      <c r="S12" s="326"/>
    </row>
    <row r="13" spans="1:23" ht="21.95" customHeight="1" x14ac:dyDescent="0.2">
      <c r="A13" s="317"/>
      <c r="B13" s="317"/>
      <c r="D13" s="328"/>
      <c r="E13" s="329"/>
      <c r="F13" s="329"/>
      <c r="G13" s="329"/>
      <c r="H13" s="329"/>
      <c r="I13" s="329"/>
      <c r="J13" s="329"/>
      <c r="K13" s="329"/>
      <c r="L13" s="329"/>
      <c r="M13" s="329"/>
      <c r="N13" s="329"/>
      <c r="O13" s="329"/>
      <c r="P13" s="329"/>
      <c r="Q13" s="329"/>
      <c r="R13" s="329"/>
      <c r="S13" s="329"/>
    </row>
    <row r="14" spans="1:23" ht="21.95" customHeight="1" x14ac:dyDescent="0.2">
      <c r="A14" s="317"/>
      <c r="B14" s="317"/>
      <c r="D14" s="322" t="s">
        <v>3501</v>
      </c>
      <c r="L14" s="329"/>
      <c r="M14" s="329"/>
      <c r="N14" s="329"/>
      <c r="O14" s="329"/>
      <c r="P14" s="329"/>
      <c r="Q14" s="329"/>
      <c r="R14" s="329"/>
      <c r="S14" s="329"/>
    </row>
    <row r="15" spans="1:23" ht="21.95" customHeight="1" x14ac:dyDescent="0.2">
      <c r="A15" s="317"/>
      <c r="B15" s="317"/>
      <c r="D15" s="729" t="s">
        <v>3930</v>
      </c>
      <c r="E15" s="730"/>
      <c r="F15" s="730"/>
      <c r="G15" s="730"/>
      <c r="H15" s="730"/>
      <c r="I15" s="730"/>
      <c r="J15" s="730"/>
      <c r="K15" s="730"/>
      <c r="L15" s="730"/>
      <c r="M15" s="730"/>
      <c r="N15" s="730"/>
      <c r="O15" s="730"/>
      <c r="P15" s="730"/>
      <c r="Q15" s="730"/>
      <c r="R15" s="730"/>
      <c r="S15" s="731"/>
    </row>
    <row r="16" spans="1:23" ht="21.95" customHeight="1" x14ac:dyDescent="0.2">
      <c r="A16" s="317"/>
      <c r="B16" s="317"/>
      <c r="D16" s="732"/>
      <c r="E16" s="733"/>
      <c r="F16" s="733"/>
      <c r="G16" s="733"/>
      <c r="H16" s="733"/>
      <c r="I16" s="733"/>
      <c r="J16" s="733"/>
      <c r="K16" s="733"/>
      <c r="L16" s="733"/>
      <c r="M16" s="733"/>
      <c r="N16" s="733"/>
      <c r="O16" s="733"/>
      <c r="P16" s="733"/>
      <c r="Q16" s="733"/>
      <c r="R16" s="733"/>
      <c r="S16" s="734"/>
    </row>
    <row r="17" spans="1:20" ht="21.95" customHeight="1" x14ac:dyDescent="0.2">
      <c r="A17" s="317"/>
      <c r="B17" s="317"/>
      <c r="D17" s="322"/>
      <c r="P17" s="327"/>
      <c r="Q17" s="327"/>
      <c r="R17" s="327"/>
      <c r="S17" s="327"/>
    </row>
    <row r="18" spans="1:20" ht="21.95" customHeight="1" x14ac:dyDescent="0.2">
      <c r="A18" s="317"/>
      <c r="B18" s="317"/>
    </row>
    <row r="19" spans="1:20" ht="21.95" customHeight="1" thickBot="1" x14ac:dyDescent="0.25">
      <c r="A19" s="317"/>
      <c r="B19" s="317"/>
      <c r="D19" s="325" t="s">
        <v>3525</v>
      </c>
      <c r="E19" s="326"/>
      <c r="F19" s="326"/>
      <c r="G19" s="326"/>
      <c r="H19" s="326"/>
      <c r="I19" s="326"/>
      <c r="J19" s="326"/>
      <c r="K19" s="326"/>
      <c r="L19" s="326"/>
      <c r="M19" s="326"/>
      <c r="N19" s="326"/>
      <c r="O19" s="326"/>
      <c r="P19" s="326"/>
      <c r="Q19" s="326"/>
      <c r="R19" s="326"/>
      <c r="S19" s="326"/>
    </row>
    <row r="20" spans="1:20" ht="21.95" customHeight="1" x14ac:dyDescent="0.2">
      <c r="A20" s="317"/>
      <c r="B20" s="317"/>
    </row>
    <row r="21" spans="1:20" ht="21.95" customHeight="1" x14ac:dyDescent="0.2">
      <c r="A21" s="317"/>
      <c r="B21" s="317"/>
      <c r="D21" s="322" t="s">
        <v>3526</v>
      </c>
      <c r="P21" s="746">
        <v>1000</v>
      </c>
      <c r="Q21" s="746"/>
      <c r="R21" s="746"/>
      <c r="S21" s="746"/>
    </row>
    <row r="22" spans="1:20" ht="21.95" customHeight="1" x14ac:dyDescent="0.2">
      <c r="A22" s="317"/>
      <c r="B22" s="317"/>
      <c r="D22" s="322" t="s">
        <v>3527</v>
      </c>
      <c r="P22" s="746">
        <v>1500</v>
      </c>
      <c r="Q22" s="746"/>
      <c r="R22" s="746"/>
      <c r="S22" s="746"/>
    </row>
    <row r="23" spans="1:20" ht="21.95" customHeight="1" x14ac:dyDescent="0.2">
      <c r="A23" s="317"/>
      <c r="B23" s="317"/>
      <c r="D23" s="322" t="s">
        <v>3528</v>
      </c>
      <c r="P23" s="746">
        <v>2000</v>
      </c>
      <c r="Q23" s="746"/>
      <c r="R23" s="746"/>
      <c r="S23" s="746"/>
    </row>
    <row r="24" spans="1:20" ht="21.95" customHeight="1" x14ac:dyDescent="0.2">
      <c r="A24" s="317"/>
      <c r="B24" s="317"/>
      <c r="D24" s="322" t="s">
        <v>3529</v>
      </c>
      <c r="P24" s="746">
        <v>3000</v>
      </c>
      <c r="Q24" s="746"/>
      <c r="R24" s="746"/>
      <c r="S24" s="746"/>
    </row>
    <row r="25" spans="1:20" ht="21.95" customHeight="1" x14ac:dyDescent="0.2">
      <c r="A25" s="317"/>
      <c r="B25" s="317"/>
      <c r="D25" s="330"/>
    </row>
    <row r="26" spans="1:20" ht="21.95" hidden="1" customHeight="1" x14ac:dyDescent="0.2">
      <c r="A26" s="317"/>
      <c r="B26" s="340"/>
      <c r="C26" s="329"/>
      <c r="D26" s="329"/>
      <c r="E26" s="329"/>
      <c r="F26" s="329"/>
      <c r="G26" s="329"/>
      <c r="H26" s="329"/>
      <c r="I26" s="329"/>
      <c r="J26" s="329"/>
      <c r="K26" s="329"/>
      <c r="L26" s="329"/>
      <c r="M26" s="329"/>
      <c r="N26" s="329"/>
      <c r="O26" s="329"/>
      <c r="P26" s="329"/>
      <c r="Q26" s="329"/>
      <c r="R26" s="329"/>
      <c r="S26" s="329"/>
      <c r="T26" s="329"/>
    </row>
    <row r="27" spans="1:20" ht="21.95" hidden="1" customHeight="1" x14ac:dyDescent="0.2">
      <c r="A27" s="317"/>
      <c r="B27" s="340"/>
      <c r="C27" s="329"/>
      <c r="D27" s="329"/>
      <c r="E27" s="329"/>
      <c r="F27" s="329"/>
      <c r="G27" s="329"/>
      <c r="H27" s="329"/>
      <c r="I27" s="329"/>
      <c r="J27" s="329"/>
      <c r="K27" s="329"/>
      <c r="L27" s="329"/>
      <c r="M27" s="329"/>
      <c r="N27" s="329"/>
      <c r="O27" s="329"/>
      <c r="P27" s="329"/>
      <c r="Q27" s="329"/>
      <c r="R27" s="329"/>
      <c r="S27" s="329"/>
      <c r="T27" s="329"/>
    </row>
  </sheetData>
  <sheetProtection algorithmName="SHA-512" hashValue="qll6kTUGCRliDVmAV3moVcgeWq3y67326kXX0DCcOToanSVaED6PnCR3dKjGh0hUDejk4kPkujpDVyrSReUJ2Q==" saltValue="aD3EHQpm1Cu0U/OYz4xqdA==" spinCount="100000" sheet="1" objects="1" scenarios="1" selectLockedCells="1"/>
  <dataConsolidate/>
  <mergeCells count="8">
    <mergeCell ref="P22:S22"/>
    <mergeCell ref="P23:S23"/>
    <mergeCell ref="P24:S24"/>
    <mergeCell ref="P7:S7"/>
    <mergeCell ref="P8:S8"/>
    <mergeCell ref="P9:S9"/>
    <mergeCell ref="D15:S16"/>
    <mergeCell ref="P21:S21"/>
  </mergeCells>
  <dataValidations count="3">
    <dataValidation type="decimal" allowBlank="1" showInputMessage="1" showErrorMessage="1" sqref="P9:S9" xr:uid="{00000000-0002-0000-0300-000000000000}">
      <formula1>0</formula1>
      <formula2>999999999999</formula2>
    </dataValidation>
    <dataValidation type="textLength" allowBlank="1" showInputMessage="1" showErrorMessage="1" sqref="P7:S7" xr:uid="{00000000-0002-0000-0300-000001000000}">
      <formula1>0</formula1>
      <formula2>5</formula2>
    </dataValidation>
    <dataValidation type="whole" operator="greaterThan" allowBlank="1" showInputMessage="1" showErrorMessage="1" sqref="P21:S24" xr:uid="{00000000-0002-0000-0300-000002000000}">
      <formula1>0</formula1>
    </dataValidation>
  </dataValidations>
  <pageMargins left="0.7" right="0.7" top="0.75" bottom="0.75" header="0.3" footer="0.3"/>
  <pageSetup scale="80" fitToHeight="0" orientation="portrait" r:id="rId1"/>
  <headerFooter>
    <oddFooter>&amp;R&amp;9&amp;P of &amp;N&amp;L&amp;1#&amp;"Calibri"&amp;9&amp;K0000FFFHLBank San Francisco | Internal</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336"/>
  <sheetViews>
    <sheetView zoomScaleNormal="100" workbookViewId="0">
      <pane xSplit="4" ySplit="2" topLeftCell="E3" activePane="bottomRight" state="frozen"/>
      <selection activeCell="P7" sqref="P7:S7"/>
      <selection pane="topRight" activeCell="P7" sqref="P7:S7"/>
      <selection pane="bottomLeft" activeCell="P7" sqref="P7:S7"/>
      <selection pane="bottomRight" activeCell="P7" sqref="P7:S7"/>
    </sheetView>
  </sheetViews>
  <sheetFormatPr defaultColWidth="9.140625" defaultRowHeight="12.75" x14ac:dyDescent="0.2"/>
  <cols>
    <col min="1" max="1" width="9.28515625" style="1" customWidth="1"/>
    <col min="2" max="2" width="9.5703125" style="1" customWidth="1"/>
    <col min="3" max="3" width="9.28515625" style="1" customWidth="1"/>
    <col min="4" max="4" width="35.42578125" style="1" customWidth="1"/>
    <col min="5" max="5" width="16.5703125" style="1" customWidth="1"/>
    <col min="6" max="6" width="16.85546875" style="23" customWidth="1"/>
    <col min="7" max="7" width="54.5703125" style="1" bestFit="1" customWidth="1"/>
    <col min="8" max="8" width="26.5703125" style="1" customWidth="1"/>
    <col min="9" max="9" width="24.140625" style="2" customWidth="1"/>
    <col min="10" max="10" width="21.28515625" style="2" customWidth="1"/>
    <col min="11" max="11" width="22" style="1" customWidth="1"/>
    <col min="12" max="12" width="19" style="1" customWidth="1"/>
    <col min="13" max="13" width="20.85546875" style="1" customWidth="1"/>
    <col min="14" max="14" width="19" style="1" customWidth="1"/>
    <col min="15" max="15" width="17" style="1" customWidth="1"/>
    <col min="16" max="16" width="20.7109375" style="1" customWidth="1"/>
    <col min="17" max="17" width="16.5703125" style="1" customWidth="1"/>
    <col min="18" max="18" width="20" style="1" bestFit="1" customWidth="1"/>
    <col min="19" max="19" width="20.28515625" style="1" bestFit="1" customWidth="1"/>
    <col min="20" max="20" width="22.28515625" style="1" customWidth="1"/>
    <col min="21" max="21" width="13.7109375" style="1" customWidth="1"/>
    <col min="22" max="22" width="14.5703125" style="1" customWidth="1"/>
    <col min="23" max="23" width="31.42578125" style="1" customWidth="1"/>
    <col min="24" max="24" width="31.140625" style="1" customWidth="1"/>
    <col min="25" max="25" width="32.5703125" style="1" bestFit="1" customWidth="1"/>
    <col min="26" max="26" width="23" style="1" customWidth="1"/>
    <col min="27" max="27" width="13.140625" style="2" bestFit="1" customWidth="1"/>
    <col min="28" max="28" width="36" style="2" bestFit="1" customWidth="1"/>
    <col min="29" max="29" width="31.7109375" style="1" customWidth="1"/>
    <col min="30" max="16384" width="9.140625" style="1"/>
  </cols>
  <sheetData>
    <row r="1" spans="1:29" ht="21.75" customHeight="1" x14ac:dyDescent="0.2">
      <c r="A1" s="3" t="s">
        <v>241</v>
      </c>
      <c r="C1" s="5" t="s">
        <v>173</v>
      </c>
      <c r="G1" s="5"/>
      <c r="H1" s="5" t="s">
        <v>172</v>
      </c>
      <c r="I1" s="5" t="s">
        <v>74</v>
      </c>
      <c r="L1" s="1" t="s">
        <v>75</v>
      </c>
      <c r="M1" s="12" t="s">
        <v>12</v>
      </c>
      <c r="N1" s="5" t="s">
        <v>246</v>
      </c>
      <c r="X1" s="1" t="s">
        <v>242</v>
      </c>
    </row>
    <row r="2" spans="1:29" x14ac:dyDescent="0.2">
      <c r="A2" s="1" t="s">
        <v>50</v>
      </c>
      <c r="B2" s="1" t="s">
        <v>49</v>
      </c>
      <c r="C2" s="1" t="s">
        <v>48</v>
      </c>
      <c r="D2" s="1" t="s">
        <v>0</v>
      </c>
      <c r="E2" s="1" t="s">
        <v>203</v>
      </c>
      <c r="F2" s="23" t="s">
        <v>4</v>
      </c>
      <c r="G2" s="1" t="s">
        <v>1</v>
      </c>
      <c r="H2" s="2" t="s">
        <v>2</v>
      </c>
      <c r="I2" s="2" t="s">
        <v>73</v>
      </c>
      <c r="J2" s="2" t="s">
        <v>32</v>
      </c>
      <c r="K2" s="2" t="s">
        <v>63</v>
      </c>
      <c r="L2" s="1" t="s">
        <v>33</v>
      </c>
      <c r="M2" s="2" t="s">
        <v>3</v>
      </c>
      <c r="N2" s="1" t="s">
        <v>17</v>
      </c>
      <c r="O2" s="1" t="s">
        <v>18</v>
      </c>
      <c r="P2" s="1" t="s">
        <v>19</v>
      </c>
      <c r="Q2" s="1" t="s">
        <v>67</v>
      </c>
      <c r="R2" s="1" t="s">
        <v>69</v>
      </c>
      <c r="S2" s="1" t="s">
        <v>147</v>
      </c>
      <c r="T2" s="1" t="s">
        <v>68</v>
      </c>
      <c r="U2" s="1" t="s">
        <v>70</v>
      </c>
      <c r="V2" s="1" t="s">
        <v>71</v>
      </c>
      <c r="W2" s="1" t="s">
        <v>72</v>
      </c>
      <c r="X2" s="1" t="s">
        <v>231</v>
      </c>
      <c r="Y2" s="1" t="s">
        <v>230</v>
      </c>
      <c r="Z2" s="1" t="s">
        <v>255</v>
      </c>
      <c r="AA2" s="60" t="s">
        <v>2434</v>
      </c>
      <c r="AB2" s="60" t="s">
        <v>2405</v>
      </c>
      <c r="AC2" s="28" t="s">
        <v>217</v>
      </c>
    </row>
    <row r="3" spans="1:29" x14ac:dyDescent="0.2">
      <c r="A3" s="15"/>
      <c r="B3" s="15"/>
      <c r="C3" s="16"/>
      <c r="D3" s="62" t="s">
        <v>176</v>
      </c>
      <c r="E3" s="62" t="b">
        <v>0</v>
      </c>
      <c r="F3" s="64" t="b">
        <v>1</v>
      </c>
      <c r="G3" s="17" t="s">
        <v>174</v>
      </c>
      <c r="H3" s="29" t="str">
        <f>UPPER("NOTUSED")</f>
        <v>NOTUSED</v>
      </c>
      <c r="I3" s="18"/>
      <c r="J3" s="17" t="b">
        <f>(DB_TBL_DATA_FIELDS[[#This Row],[FIELD_VALUE_RAW]]="")</f>
        <v>0</v>
      </c>
      <c r="K3" s="17" t="s">
        <v>11</v>
      </c>
      <c r="L3" s="16" t="b">
        <f>AND(IF(DB_TBL_DATA_FIELDS[[#This Row],[FIELD_VALID_CUSTOM_LOGIC]]="",TRUE,DB_TBL_DATA_FIELDS[[#This Row],[FIELD_VALID_CUSTOM_LOGIC]]),DB_TBL_DATA_FIELDS[[#This Row],[RANGE_VALIDATION_PASSED_FLAG]])</f>
        <v>1</v>
      </c>
      <c r="M3" s="18"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NOTUSED</v>
      </c>
      <c r="N3" s="16" t="str">
        <f>IF(DB_TBL_DATA_FIELDS[[#This Row],[SHEET_REF_CALC]]="","",IF(DB_TBL_DATA_FIELDS[[#This Row],[FIELD_EMPTY_FLAG]],IF(NOT(DB_TBL_DATA_FIELDS[[#This Row],[FIELD_REQ_FLAG]]),-1,1),IF(NOT(DB_TBL_DATA_FIELDS[[#This Row],[FIELD_VALID_FLAG]]),0,2)))</f>
        <v/>
      </c>
      <c r="O3" s="16" t="str">
        <f>IFERROR(VLOOKUP(DB_TBL_DATA_FIELDS[[#This Row],[FIELD_STATUS_CODE]],DB_TBL_CONFIG_FIELDSTATUSCODES[#All],3,FALSE),"")</f>
        <v/>
      </c>
      <c r="P3" s="16" t="str">
        <f>IFERROR(VLOOKUP(DB_TBL_DATA_FIELDS[[#This Row],[FIELD_STATUS_CODE]],DB_TBL_CONFIG_FIELDSTATUSCODES[#All],4,FALSE),"")</f>
        <v/>
      </c>
      <c r="Q3" s="7" t="b">
        <v>1</v>
      </c>
      <c r="R3" s="16" t="b">
        <v>1</v>
      </c>
      <c r="S3" s="15" t="s">
        <v>11</v>
      </c>
      <c r="T3" s="7">
        <f>IF(DB_TBL_DATA_FIELDS[[#This Row],[RANGE_VALIDATION_FLAG]]="Text",LEN(DB_TBL_DATA_FIELDS[[#This Row],[FIELD_VALUE_RAW]]),IFERROR(VALUE(DB_TBL_DATA_FIELDS[[#This Row],[FIELD_VALUE_RAW]]),-1))</f>
        <v>7</v>
      </c>
      <c r="U3" s="16">
        <v>1</v>
      </c>
      <c r="V3" s="16">
        <v>20</v>
      </c>
      <c r="W3" s="16" t="b">
        <f>IF(NOT(DB_TBL_DATA_FIELDS[[#This Row],[RANGE_VALIDATION_ON_FLAG]]),TRUE,
AND(DB_TBL_DATA_FIELDS[[#This Row],[RANGE_VALUE_LEN]]&gt;=DB_TBL_DATA_FIELDS[[#This Row],[RANGE_VALIDATION_MIN]],DB_TBL_DATA_FIELDS[[#This Row],[RANGE_VALUE_LEN]]&lt;=DB_TBL_DATA_FIELDS[[#This Row],[RANGE_VALIDATION_MAX]]))</f>
        <v>1</v>
      </c>
      <c r="X3" s="16">
        <v>0</v>
      </c>
      <c r="Y3" s="16" t="str">
        <f>IF(DB_TBL_DATA_FIELDS[[#This Row],[PCT_CALC_SHOW_STATUS_CODE]]=1,
DB_TBL_DATA_FIELDS[[#This Row],[FIELD_STATUS_CODE]],
IF(AND(DB_TBL_DATA_FIELDS[[#This Row],[PCT_CALC_SHOW_STATUS_CODE]]=2,DB_TBL_DATA_FIELDS[[#This Row],[FIELD_STATUS_CODE]]=0),
DB_TBL_DATA_FIELDS[[#This Row],[FIELD_STATUS_CODE]],
"")
)</f>
        <v/>
      </c>
      <c r="Z3" s="16"/>
      <c r="AA3" s="10" t="s">
        <v>216</v>
      </c>
      <c r="AB3" s="10"/>
      <c r="AC3" s="7"/>
    </row>
    <row r="4" spans="1:29" x14ac:dyDescent="0.2">
      <c r="C4" s="16"/>
      <c r="D4" s="63" t="s">
        <v>150</v>
      </c>
      <c r="E4" s="1" t="b">
        <v>0</v>
      </c>
      <c r="F4" s="23" t="b">
        <v>0</v>
      </c>
      <c r="G4" s="2" t="s">
        <v>244</v>
      </c>
      <c r="H4" s="29">
        <f ca="1">COUNTIF(DB_TBL_DATA_FIELDS[PCT_CALC_FIELD_STATUS_CODE],2)</f>
        <v>0</v>
      </c>
      <c r="I4" s="10"/>
      <c r="J4" s="2" t="b">
        <f ca="1">(DB_TBL_DATA_FIELDS[[#This Row],[FIELD_VALUE_RAW]]="")</f>
        <v>0</v>
      </c>
      <c r="K4" s="2" t="s">
        <v>62</v>
      </c>
      <c r="L4" s="7" t="b">
        <f>AND(IF(DB_TBL_DATA_FIELDS[[#This Row],[FIELD_VALID_CUSTOM_LOGIC]]="",TRUE,DB_TBL_DATA_FIELDS[[#This Row],[FIELD_VALID_CUSTOM_LOGIC]]),DB_TBL_DATA_FIELDS[[#This Row],[RANGE_VALIDATION_PASSED_FLAG]])</f>
        <v>1</v>
      </c>
      <c r="M4"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4" s="7" t="str">
        <f>IF(DB_TBL_DATA_FIELDS[[#This Row],[SHEET_REF_CALC]]="","",IF(DB_TBL_DATA_FIELDS[[#This Row],[FIELD_EMPTY_FLAG]],IF(NOT(DB_TBL_DATA_FIELDS[[#This Row],[FIELD_REQ_FLAG]]),-1,1),IF(NOT(DB_TBL_DATA_FIELDS[[#This Row],[FIELD_VALID_FLAG]]),0,2)))</f>
        <v/>
      </c>
      <c r="O4" s="7" t="str">
        <f>IFERROR(VLOOKUP(DB_TBL_DATA_FIELDS[[#This Row],[FIELD_STATUS_CODE]],DB_TBL_CONFIG_FIELDSTATUSCODES[#All],3,FALSE),"")</f>
        <v/>
      </c>
      <c r="P4" s="7" t="str">
        <f>IFERROR(VLOOKUP(DB_TBL_DATA_FIELDS[[#This Row],[FIELD_STATUS_CODE]],DB_TBL_CONFIG_FIELDSTATUSCODES[#All],4,FALSE),"")</f>
        <v/>
      </c>
      <c r="Q4" s="7" t="b">
        <f>TRUE</f>
        <v>1</v>
      </c>
      <c r="R4" s="7" t="b">
        <v>0</v>
      </c>
      <c r="T4" s="7">
        <f ca="1">IF(DB_TBL_DATA_FIELDS[[#This Row],[RANGE_VALIDATION_FLAG]]="Text",LEN(DB_TBL_DATA_FIELDS[[#This Row],[FIELD_VALUE_RAW]]),IFERROR(VALUE(DB_TBL_DATA_FIELDS[[#This Row],[FIELD_VALUE_RAW]]),-1))</f>
        <v>0</v>
      </c>
      <c r="U4" s="7"/>
      <c r="V4" s="7"/>
      <c r="W4" s="7" t="b">
        <f>IF(NOT(DB_TBL_DATA_FIELDS[[#This Row],[RANGE_VALIDATION_ON_FLAG]]),TRUE,
AND(DB_TBL_DATA_FIELDS[[#This Row],[RANGE_VALUE_LEN]]&gt;=DB_TBL_DATA_FIELDS[[#This Row],[RANGE_VALIDATION_MIN]],DB_TBL_DATA_FIELDS[[#This Row],[RANGE_VALUE_LEN]]&lt;=DB_TBL_DATA_FIELDS[[#This Row],[RANGE_VALIDATION_MAX]]))</f>
        <v>1</v>
      </c>
      <c r="X4" s="16">
        <v>0</v>
      </c>
      <c r="Y4" s="16" t="str">
        <f>IF(DB_TBL_DATA_FIELDS[[#This Row],[PCT_CALC_SHOW_STATUS_CODE]]=1,
DB_TBL_DATA_FIELDS[[#This Row],[FIELD_STATUS_CODE]],
IF(AND(DB_TBL_DATA_FIELDS[[#This Row],[PCT_CALC_SHOW_STATUS_CODE]]=2,DB_TBL_DATA_FIELDS[[#This Row],[FIELD_STATUS_CODE]]=0),
DB_TBL_DATA_FIELDS[[#This Row],[FIELD_STATUS_CODE]],
"")
)</f>
        <v/>
      </c>
      <c r="Z4" s="16"/>
      <c r="AA4" s="10" t="s">
        <v>216</v>
      </c>
      <c r="AB4" s="10"/>
      <c r="AC4" s="7"/>
    </row>
    <row r="5" spans="1:29" x14ac:dyDescent="0.2">
      <c r="C5" s="16"/>
      <c r="D5" s="63" t="s">
        <v>151</v>
      </c>
      <c r="E5" s="1" t="b">
        <v>0</v>
      </c>
      <c r="F5" s="23" t="b">
        <v>0</v>
      </c>
      <c r="G5" s="2" t="s">
        <v>243</v>
      </c>
      <c r="H5" s="29">
        <f ca="1">COUNTIF(DB_TBL_DATA_FIELDS[PCT_CALC_FIELD_STATUS_CODE],0)+COUNTIF(DB_TBL_DATA_FIELDS[PCT_CALC_FIELD_STATUS_CODE],1)+COUNTIF(DB_TBL_DATA_FIELDS[PCT_CALC_FIELD_STATUS_CODE],2)</f>
        <v>115</v>
      </c>
      <c r="I5" s="10"/>
      <c r="J5" s="2" t="b">
        <f ca="1">(DB_TBL_DATA_FIELDS[[#This Row],[FIELD_VALUE_RAW]]="")</f>
        <v>0</v>
      </c>
      <c r="K5" s="2" t="s">
        <v>62</v>
      </c>
      <c r="L5" s="7" t="b">
        <f>AND(IF(DB_TBL_DATA_FIELDS[[#This Row],[FIELD_VALID_CUSTOM_LOGIC]]="",TRUE,DB_TBL_DATA_FIELDS[[#This Row],[FIELD_VALID_CUSTOM_LOGIC]]),DB_TBL_DATA_FIELDS[[#This Row],[RANGE_VALIDATION_PASSED_FLAG]])</f>
        <v>1</v>
      </c>
      <c r="M5"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115</v>
      </c>
      <c r="N5" s="7" t="str">
        <f>IF(DB_TBL_DATA_FIELDS[[#This Row],[SHEET_REF_CALC]]="","",IF(DB_TBL_DATA_FIELDS[[#This Row],[FIELD_EMPTY_FLAG]],IF(NOT(DB_TBL_DATA_FIELDS[[#This Row],[FIELD_REQ_FLAG]]),-1,1),IF(NOT(DB_TBL_DATA_FIELDS[[#This Row],[FIELD_VALID_FLAG]]),0,2)))</f>
        <v/>
      </c>
      <c r="O5" s="7" t="str">
        <f>IFERROR(VLOOKUP(DB_TBL_DATA_FIELDS[[#This Row],[FIELD_STATUS_CODE]],DB_TBL_CONFIG_FIELDSTATUSCODES[#All],3,FALSE),"")</f>
        <v/>
      </c>
      <c r="P5" s="7" t="str">
        <f>IFERROR(VLOOKUP(DB_TBL_DATA_FIELDS[[#This Row],[FIELD_STATUS_CODE]],DB_TBL_CONFIG_FIELDSTATUSCODES[#All],4,FALSE),"")</f>
        <v/>
      </c>
      <c r="Q5" s="7" t="b">
        <f>TRUE</f>
        <v>1</v>
      </c>
      <c r="R5" s="7" t="b">
        <v>0</v>
      </c>
      <c r="T5" s="7">
        <f ca="1">IF(DB_TBL_DATA_FIELDS[[#This Row],[RANGE_VALIDATION_FLAG]]="Text",LEN(DB_TBL_DATA_FIELDS[[#This Row],[FIELD_VALUE_RAW]]),IFERROR(VALUE(DB_TBL_DATA_FIELDS[[#This Row],[FIELD_VALUE_RAW]]),-1))</f>
        <v>115</v>
      </c>
      <c r="U5" s="7"/>
      <c r="V5" s="7"/>
      <c r="W5" s="7" t="b">
        <f>IF(NOT(DB_TBL_DATA_FIELDS[[#This Row],[RANGE_VALIDATION_ON_FLAG]]),TRUE,
AND(DB_TBL_DATA_FIELDS[[#This Row],[RANGE_VALUE_LEN]]&gt;=DB_TBL_DATA_FIELDS[[#This Row],[RANGE_VALIDATION_MIN]],DB_TBL_DATA_FIELDS[[#This Row],[RANGE_VALUE_LEN]]&lt;=DB_TBL_DATA_FIELDS[[#This Row],[RANGE_VALIDATION_MAX]]))</f>
        <v>1</v>
      </c>
      <c r="X5" s="16">
        <v>0</v>
      </c>
      <c r="Y5" s="16" t="str">
        <f>IF(DB_TBL_DATA_FIELDS[[#This Row],[PCT_CALC_SHOW_STATUS_CODE]]=1,
DB_TBL_DATA_FIELDS[[#This Row],[FIELD_STATUS_CODE]],
IF(AND(DB_TBL_DATA_FIELDS[[#This Row],[PCT_CALC_SHOW_STATUS_CODE]]=2,DB_TBL_DATA_FIELDS[[#This Row],[FIELD_STATUS_CODE]]=0),
DB_TBL_DATA_FIELDS[[#This Row],[FIELD_STATUS_CODE]],
"")
)</f>
        <v/>
      </c>
      <c r="Z5" s="16"/>
      <c r="AA5" s="10" t="s">
        <v>216</v>
      </c>
      <c r="AB5" s="10"/>
      <c r="AC5" s="7"/>
    </row>
    <row r="6" spans="1:29" x14ac:dyDescent="0.2">
      <c r="C6" s="16"/>
      <c r="D6" s="63" t="s">
        <v>152</v>
      </c>
      <c r="E6" s="1" t="b">
        <v>0</v>
      </c>
      <c r="F6" s="23" t="b">
        <v>0</v>
      </c>
      <c r="G6" s="2" t="s">
        <v>206</v>
      </c>
      <c r="H6" s="29">
        <f ca="1">COUNTIF(DB_TBL_DATA_FIELDS[FIELD_STATUS_CODE],0)</f>
        <v>0</v>
      </c>
      <c r="I6" s="10"/>
      <c r="J6" s="2" t="b">
        <f ca="1">(DB_TBL_DATA_FIELDS[[#This Row],[FIELD_VALUE_RAW]]="")</f>
        <v>0</v>
      </c>
      <c r="K6" s="2" t="s">
        <v>62</v>
      </c>
      <c r="L6" s="7" t="b">
        <f>AND(IF(DB_TBL_DATA_FIELDS[[#This Row],[FIELD_VALID_CUSTOM_LOGIC]]="",TRUE,DB_TBL_DATA_FIELDS[[#This Row],[FIELD_VALID_CUSTOM_LOGIC]]),DB_TBL_DATA_FIELDS[[#This Row],[RANGE_VALIDATION_PASSED_FLAG]])</f>
        <v>1</v>
      </c>
      <c r="M6"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6" s="7" t="str">
        <f>IF(DB_TBL_DATA_FIELDS[[#This Row],[SHEET_REF_CALC]]="","",IF(DB_TBL_DATA_FIELDS[[#This Row],[FIELD_EMPTY_FLAG]],IF(NOT(DB_TBL_DATA_FIELDS[[#This Row],[FIELD_REQ_FLAG]]),-1,1),IF(NOT(DB_TBL_DATA_FIELDS[[#This Row],[FIELD_VALID_FLAG]]),0,2)))</f>
        <v/>
      </c>
      <c r="O6" s="7" t="str">
        <f>IFERROR(VLOOKUP(DB_TBL_DATA_FIELDS[[#This Row],[FIELD_STATUS_CODE]],DB_TBL_CONFIG_FIELDSTATUSCODES[#All],3,FALSE),"")</f>
        <v/>
      </c>
      <c r="P6" s="7" t="str">
        <f>IFERROR(VLOOKUP(DB_TBL_DATA_FIELDS[[#This Row],[FIELD_STATUS_CODE]],DB_TBL_CONFIG_FIELDSTATUSCODES[#All],4,FALSE),"")</f>
        <v/>
      </c>
      <c r="Q6" s="7" t="b">
        <f>TRUE</f>
        <v>1</v>
      </c>
      <c r="R6" s="7" t="b">
        <v>0</v>
      </c>
      <c r="T6" s="7">
        <f ca="1">IF(DB_TBL_DATA_FIELDS[[#This Row],[RANGE_VALIDATION_FLAG]]="Text",LEN(DB_TBL_DATA_FIELDS[[#This Row],[FIELD_VALUE_RAW]]),IFERROR(VALUE(DB_TBL_DATA_FIELDS[[#This Row],[FIELD_VALUE_RAW]]),-1))</f>
        <v>0</v>
      </c>
      <c r="U6" s="7"/>
      <c r="V6" s="7"/>
      <c r="W6" s="7" t="b">
        <f>IF(NOT(DB_TBL_DATA_FIELDS[[#This Row],[RANGE_VALIDATION_ON_FLAG]]),TRUE,
AND(DB_TBL_DATA_FIELDS[[#This Row],[RANGE_VALUE_LEN]]&gt;=DB_TBL_DATA_FIELDS[[#This Row],[RANGE_VALIDATION_MIN]],DB_TBL_DATA_FIELDS[[#This Row],[RANGE_VALUE_LEN]]&lt;=DB_TBL_DATA_FIELDS[[#This Row],[RANGE_VALIDATION_MAX]]))</f>
        <v>1</v>
      </c>
      <c r="X6" s="16">
        <v>0</v>
      </c>
      <c r="Y6" s="16" t="str">
        <f>IF(DB_TBL_DATA_FIELDS[[#This Row],[PCT_CALC_SHOW_STATUS_CODE]]=1,
DB_TBL_DATA_FIELDS[[#This Row],[FIELD_STATUS_CODE]],
IF(AND(DB_TBL_DATA_FIELDS[[#This Row],[PCT_CALC_SHOW_STATUS_CODE]]=2,DB_TBL_DATA_FIELDS[[#This Row],[FIELD_STATUS_CODE]]=0),
DB_TBL_DATA_FIELDS[[#This Row],[FIELD_STATUS_CODE]],
"")
)</f>
        <v/>
      </c>
      <c r="Z6" s="16"/>
      <c r="AA6" s="10" t="s">
        <v>216</v>
      </c>
      <c r="AB6" s="10"/>
      <c r="AC6" s="7"/>
    </row>
    <row r="7" spans="1:29" x14ac:dyDescent="0.2">
      <c r="C7" s="16"/>
      <c r="D7" s="63" t="s">
        <v>208</v>
      </c>
      <c r="E7" s="1" t="b">
        <v>0</v>
      </c>
      <c r="F7" s="23" t="b">
        <v>0</v>
      </c>
      <c r="G7" s="2" t="s">
        <v>207</v>
      </c>
      <c r="H7" s="29">
        <f ca="1">H4/H5</f>
        <v>0</v>
      </c>
      <c r="I7" s="10"/>
      <c r="J7" s="2" t="b">
        <f ca="1">(DB_TBL_DATA_FIELDS[[#This Row],[FIELD_VALUE_RAW]]="")</f>
        <v>0</v>
      </c>
      <c r="K7" s="2" t="s">
        <v>62</v>
      </c>
      <c r="L7" s="7" t="b">
        <f>AND(IF(DB_TBL_DATA_FIELDS[[#This Row],[FIELD_VALID_CUSTOM_LOGIC]]="",TRUE,DB_TBL_DATA_FIELDS[[#This Row],[FIELD_VALID_CUSTOM_LOGIC]]),DB_TBL_DATA_FIELDS[[#This Row],[RANGE_VALIDATION_PASSED_FLAG]])</f>
        <v>1</v>
      </c>
      <c r="M7"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7" s="7" t="str">
        <f>IF(DB_TBL_DATA_FIELDS[[#This Row],[SHEET_REF_CALC]]="","",IF(DB_TBL_DATA_FIELDS[[#This Row],[FIELD_EMPTY_FLAG]],IF(NOT(DB_TBL_DATA_FIELDS[[#This Row],[FIELD_REQ_FLAG]]),-1,1),IF(NOT(DB_TBL_DATA_FIELDS[[#This Row],[FIELD_VALID_FLAG]]),0,2)))</f>
        <v/>
      </c>
      <c r="O7" s="7" t="str">
        <f>IFERROR(VLOOKUP(DB_TBL_DATA_FIELDS[[#This Row],[FIELD_STATUS_CODE]],DB_TBL_CONFIG_FIELDSTATUSCODES[#All],3,FALSE),"")</f>
        <v/>
      </c>
      <c r="P7" s="7" t="str">
        <f>IFERROR(VLOOKUP(DB_TBL_DATA_FIELDS[[#This Row],[FIELD_STATUS_CODE]],DB_TBL_CONFIG_FIELDSTATUSCODES[#All],4,FALSE),"")</f>
        <v/>
      </c>
      <c r="Q7" s="7" t="b">
        <f>TRUE</f>
        <v>1</v>
      </c>
      <c r="R7" s="7" t="b">
        <v>0</v>
      </c>
      <c r="T7" s="7">
        <f ca="1">IF(DB_TBL_DATA_FIELDS[[#This Row],[RANGE_VALIDATION_FLAG]]="Text",LEN(DB_TBL_DATA_FIELDS[[#This Row],[FIELD_VALUE_RAW]]),IFERROR(VALUE(DB_TBL_DATA_FIELDS[[#This Row],[FIELD_VALUE_RAW]]),-1))</f>
        <v>0</v>
      </c>
      <c r="U7" s="7"/>
      <c r="V7" s="7"/>
      <c r="W7" s="7" t="b">
        <f>IF(NOT(DB_TBL_DATA_FIELDS[[#This Row],[RANGE_VALIDATION_ON_FLAG]]),TRUE,
AND(DB_TBL_DATA_FIELDS[[#This Row],[RANGE_VALUE_LEN]]&gt;=DB_TBL_DATA_FIELDS[[#This Row],[RANGE_VALIDATION_MIN]],DB_TBL_DATA_FIELDS[[#This Row],[RANGE_VALUE_LEN]]&lt;=DB_TBL_DATA_FIELDS[[#This Row],[RANGE_VALIDATION_MAX]]))</f>
        <v>1</v>
      </c>
      <c r="X7" s="16">
        <v>0</v>
      </c>
      <c r="Y7" s="16" t="str">
        <f>IF(DB_TBL_DATA_FIELDS[[#This Row],[PCT_CALC_SHOW_STATUS_CODE]]=1,
DB_TBL_DATA_FIELDS[[#This Row],[FIELD_STATUS_CODE]],
IF(AND(DB_TBL_DATA_FIELDS[[#This Row],[PCT_CALC_SHOW_STATUS_CODE]]=2,DB_TBL_DATA_FIELDS[[#This Row],[FIELD_STATUS_CODE]]=0),
DB_TBL_DATA_FIELDS[[#This Row],[FIELD_STATUS_CODE]],
"")
)</f>
        <v/>
      </c>
      <c r="Z7" s="16"/>
      <c r="AA7" s="10" t="s">
        <v>216</v>
      </c>
      <c r="AB7" s="10"/>
      <c r="AC7" s="7"/>
    </row>
    <row r="8" spans="1:29" x14ac:dyDescent="0.2">
      <c r="A8" s="4"/>
      <c r="B8" s="4"/>
      <c r="C8" s="16"/>
      <c r="D8" s="63" t="s">
        <v>183</v>
      </c>
      <c r="E8" s="62" t="b">
        <v>1</v>
      </c>
      <c r="F8" s="24" t="b">
        <v>0</v>
      </c>
      <c r="G8" s="17" t="s">
        <v>184</v>
      </c>
      <c r="H8" s="29">
        <f ca="1">IF(H7=1,1,0)</f>
        <v>0</v>
      </c>
      <c r="I8" s="18"/>
      <c r="J8" s="17" t="b">
        <f ca="1">(DB_TBL_DATA_FIELDS[[#This Row],[FIELD_VALUE_RAW]]="")</f>
        <v>0</v>
      </c>
      <c r="K8" s="17" t="s">
        <v>209</v>
      </c>
      <c r="L8" s="16" t="b">
        <f>AND(IF(DB_TBL_DATA_FIELDS[[#This Row],[FIELD_VALID_CUSTOM_LOGIC]]="",TRUE,DB_TBL_DATA_FIELDS[[#This Row],[FIELD_VALID_CUSTOM_LOGIC]]),DB_TBL_DATA_FIELDS[[#This Row],[RANGE_VALIDATION_PASSED_FLAG]])</f>
        <v>1</v>
      </c>
      <c r="M8" s="18"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v>
      </c>
      <c r="N8" s="16" t="str">
        <f>IF(DB_TBL_DATA_FIELDS[[#This Row],[SHEET_REF_CALC]]="","",IF(DB_TBL_DATA_FIELDS[[#This Row],[FIELD_EMPTY_FLAG]],IF(NOT(DB_TBL_DATA_FIELDS[[#This Row],[FIELD_REQ_FLAG]]),-1,1),IF(NOT(DB_TBL_DATA_FIELDS[[#This Row],[FIELD_VALID_FLAG]]),0,2)))</f>
        <v/>
      </c>
      <c r="O8" s="16" t="str">
        <f>IFERROR(VLOOKUP(DB_TBL_DATA_FIELDS[[#This Row],[FIELD_STATUS_CODE]],DB_TBL_CONFIG_FIELDSTATUSCODES[#All],3,FALSE),"")</f>
        <v/>
      </c>
      <c r="P8" s="16" t="str">
        <f>IFERROR(VLOOKUP(DB_TBL_DATA_FIELDS[[#This Row],[FIELD_STATUS_CODE]],DB_TBL_CONFIG_FIELDSTATUSCODES[#All],4,FALSE),"")</f>
        <v/>
      </c>
      <c r="Q8" s="16" t="b">
        <f>TRUE</f>
        <v>1</v>
      </c>
      <c r="R8" s="16" t="b">
        <v>0</v>
      </c>
      <c r="S8" s="15"/>
      <c r="T8" s="16">
        <f ca="1">IF(DB_TBL_DATA_FIELDS[[#This Row],[RANGE_VALIDATION_FLAG]]="Text",LEN(DB_TBL_DATA_FIELDS[[#This Row],[FIELD_VALUE_RAW]]),IFERROR(VALUE(DB_TBL_DATA_FIELDS[[#This Row],[FIELD_VALUE_RAW]]),-1))</f>
        <v>0</v>
      </c>
      <c r="U8" s="16">
        <v>0</v>
      </c>
      <c r="V8" s="16">
        <v>1</v>
      </c>
      <c r="W8" s="16" t="b">
        <f>IF(NOT(DB_TBL_DATA_FIELDS[[#This Row],[RANGE_VALIDATION_ON_FLAG]]),TRUE,
AND(DB_TBL_DATA_FIELDS[[#This Row],[RANGE_VALUE_LEN]]&gt;=DB_TBL_DATA_FIELDS[[#This Row],[RANGE_VALIDATION_MIN]],DB_TBL_DATA_FIELDS[[#This Row],[RANGE_VALUE_LEN]]&lt;=DB_TBL_DATA_FIELDS[[#This Row],[RANGE_VALIDATION_MAX]]))</f>
        <v>1</v>
      </c>
      <c r="X8" s="16">
        <v>0</v>
      </c>
      <c r="Y8" s="16" t="str">
        <f>IF(DB_TBL_DATA_FIELDS[[#This Row],[PCT_CALC_SHOW_STATUS_CODE]]=1,
DB_TBL_DATA_FIELDS[[#This Row],[FIELD_STATUS_CODE]],
IF(AND(DB_TBL_DATA_FIELDS[[#This Row],[PCT_CALC_SHOW_STATUS_CODE]]=2,DB_TBL_DATA_FIELDS[[#This Row],[FIELD_STATUS_CODE]]=0),
DB_TBL_DATA_FIELDS[[#This Row],[FIELD_STATUS_CODE]],
"")
)</f>
        <v/>
      </c>
      <c r="Z8" s="16"/>
      <c r="AA8" s="10" t="s">
        <v>216</v>
      </c>
      <c r="AB8" s="10"/>
      <c r="AC8" s="7"/>
    </row>
    <row r="9" spans="1:29" x14ac:dyDescent="0.2">
      <c r="A9" s="4"/>
      <c r="B9" s="4"/>
      <c r="C9" s="16"/>
      <c r="D9" s="63" t="s">
        <v>34</v>
      </c>
      <c r="E9" s="63" t="b">
        <v>1</v>
      </c>
      <c r="F9" s="23" t="b">
        <v>1</v>
      </c>
      <c r="G9" s="2" t="s">
        <v>35</v>
      </c>
      <c r="H9" s="29">
        <f>'$DB.CONFIG'!D4</f>
        <v>2021</v>
      </c>
      <c r="I9" s="10"/>
      <c r="J9" s="2" t="b">
        <f>(DB_TBL_DATA_FIELDS[[#This Row],[FIELD_VALUE_RAW]]="")</f>
        <v>0</v>
      </c>
      <c r="K9" s="2" t="s">
        <v>11</v>
      </c>
      <c r="L9" s="7" t="b">
        <f>AND(IF(DB_TBL_DATA_FIELDS[[#This Row],[FIELD_VALID_CUSTOM_LOGIC]]="",TRUE,DB_TBL_DATA_FIELDS[[#This Row],[FIELD_VALID_CUSTOM_LOGIC]]),DB_TBL_DATA_FIELDS[[#This Row],[RANGE_VALIDATION_PASSED_FLAG]])</f>
        <v>1</v>
      </c>
      <c r="M9" s="10"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2021</v>
      </c>
      <c r="N9" s="7" t="str">
        <f>IF(DB_TBL_DATA_FIELDS[[#This Row],[SHEET_REF_CALC]]="","",IF(DB_TBL_DATA_FIELDS[[#This Row],[FIELD_EMPTY_FLAG]],IF(NOT(DB_TBL_DATA_FIELDS[[#This Row],[FIELD_REQ_FLAG]]),-1,1),IF(NOT(DB_TBL_DATA_FIELDS[[#This Row],[FIELD_VALID_FLAG]]),0,2)))</f>
        <v/>
      </c>
      <c r="O9" s="7" t="str">
        <f>IFERROR(VLOOKUP(DB_TBL_DATA_FIELDS[[#This Row],[FIELD_STATUS_CODE]],DB_TBL_CONFIG_FIELDSTATUSCODES[#All],3,FALSE),"")</f>
        <v/>
      </c>
      <c r="P9" s="7" t="str">
        <f>IFERROR(VLOOKUP(DB_TBL_DATA_FIELDS[[#This Row],[FIELD_STATUS_CODE]],DB_TBL_CONFIG_FIELDSTATUSCODES[#All],4,FALSE),"")</f>
        <v/>
      </c>
      <c r="Q9" s="7" t="b">
        <f>TRUE</f>
        <v>1</v>
      </c>
      <c r="R9" s="7" t="b">
        <v>1</v>
      </c>
      <c r="S9" s="1" t="s">
        <v>11</v>
      </c>
      <c r="T9" s="7">
        <f>IF(DB_TBL_DATA_FIELDS[[#This Row],[RANGE_VALIDATION_FLAG]]="Text",LEN(DB_TBL_DATA_FIELDS[[#This Row],[FIELD_VALUE_RAW]]),IFERROR(VALUE(DB_TBL_DATA_FIELDS[[#This Row],[FIELD_VALUE_RAW]]),-1))</f>
        <v>4</v>
      </c>
      <c r="U9" s="7">
        <v>0</v>
      </c>
      <c r="V9" s="7">
        <v>5</v>
      </c>
      <c r="W9" s="7" t="b">
        <f>IF(NOT(DB_TBL_DATA_FIELDS[[#This Row],[RANGE_VALIDATION_ON_FLAG]]),TRUE,
AND(DB_TBL_DATA_FIELDS[[#This Row],[RANGE_VALUE_LEN]]&gt;=DB_TBL_DATA_FIELDS[[#This Row],[RANGE_VALIDATION_MIN]],DB_TBL_DATA_FIELDS[[#This Row],[RANGE_VALUE_LEN]]&lt;=DB_TBL_DATA_FIELDS[[#This Row],[RANGE_VALIDATION_MAX]]))</f>
        <v>1</v>
      </c>
      <c r="X9" s="16">
        <v>0</v>
      </c>
      <c r="Y9" s="16" t="str">
        <f>IF(DB_TBL_DATA_FIELDS[[#This Row],[PCT_CALC_SHOW_STATUS_CODE]]=1,
DB_TBL_DATA_FIELDS[[#This Row],[FIELD_STATUS_CODE]],
IF(AND(DB_TBL_DATA_FIELDS[[#This Row],[PCT_CALC_SHOW_STATUS_CODE]]=2,DB_TBL_DATA_FIELDS[[#This Row],[FIELD_STATUS_CODE]]=0),
DB_TBL_DATA_FIELDS[[#This Row],[FIELD_STATUS_CODE]],
"")
)</f>
        <v/>
      </c>
      <c r="Z9" s="16"/>
      <c r="AA9" s="10" t="s">
        <v>216</v>
      </c>
      <c r="AB9" s="10"/>
      <c r="AC9" s="7"/>
    </row>
    <row r="10" spans="1:29" ht="13.5" thickBot="1" x14ac:dyDescent="0.25">
      <c r="A10" s="67" t="s">
        <v>51</v>
      </c>
      <c r="B10" s="67" t="s">
        <v>51</v>
      </c>
      <c r="C10" s="68" t="s">
        <v>51</v>
      </c>
      <c r="D10" s="65" t="s">
        <v>10</v>
      </c>
      <c r="E10" s="70" t="b">
        <v>1</v>
      </c>
      <c r="F10" s="71" t="b">
        <v>1</v>
      </c>
      <c r="G10" s="72" t="s">
        <v>9</v>
      </c>
      <c r="H10" s="73" t="str">
        <f ca="1">IFERROR(VLOOKUP(DB_TBL_DATA_FIELDS[[#This Row],[FIELD_ID]],INDIRECT(DB_TBL_DATA_FIELDS[[#This Row],[SHEET_REF_CALC]]&amp;"!A:B"),2,FALSE),"")</f>
        <v>R</v>
      </c>
      <c r="I10" s="74" t="b">
        <f ca="1">OR(DB_TBL_DATA_FIELDS[[#This Row],[FIELD_VALUE_RAW]]="R",DB_TBL_DATA_FIELDS[[#This Row],[FIELD_VALUE_RAW]]="O")</f>
        <v>1</v>
      </c>
      <c r="J10" s="72" t="b">
        <f ca="1">(DB_TBL_DATA_FIELDS[[#This Row],[FIELD_VALUE_RAW]]="")</f>
        <v>0</v>
      </c>
      <c r="K10" s="72" t="s">
        <v>11</v>
      </c>
      <c r="L10" s="68" t="b">
        <f ca="1">AND(IF(DB_TBL_DATA_FIELDS[[#This Row],[FIELD_VALID_CUSTOM_LOGIC]]="",TRUE,DB_TBL_DATA_FIELDS[[#This Row],[FIELD_VALID_CUSTOM_LOGIC]]),DB_TBL_DATA_FIELDS[[#This Row],[RANGE_VALIDATION_PASSED_FLAG]])</f>
        <v>1</v>
      </c>
      <c r="M10" s="7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R</v>
      </c>
      <c r="N10" s="68">
        <f ca="1">IF(DB_TBL_DATA_FIELDS[[#This Row],[SHEET_REF_CALC]]="","",IF(DB_TBL_DATA_FIELDS[[#This Row],[FIELD_EMPTY_FLAG]],IF(NOT(DB_TBL_DATA_FIELDS[[#This Row],[FIELD_REQ_FLAG]]),-1,1),IF(NOT(DB_TBL_DATA_FIELDS[[#This Row],[FIELD_VALID_FLAG]]),0,2)))</f>
        <v>2</v>
      </c>
      <c r="O10" s="68" t="str">
        <f ca="1">IFERROR(VLOOKUP(DB_TBL_DATA_FIELDS[[#This Row],[FIELD_STATUS_CODE]],DB_TBL_CONFIG_FIELDSTATUSCODES[#All],3,FALSE),"")</f>
        <v>OK</v>
      </c>
      <c r="P10" s="68" t="str">
        <f ca="1">IFERROR(VLOOKUP(DB_TBL_DATA_FIELDS[[#This Row],[FIELD_STATUS_CODE]],DB_TBL_CONFIG_FIELDSTATUSCODES[#All],4,FALSE),"")</f>
        <v>a</v>
      </c>
      <c r="Q10" s="68" t="b">
        <v>1</v>
      </c>
      <c r="R10" s="68" t="b">
        <f>TRUE</f>
        <v>1</v>
      </c>
      <c r="S10" s="67" t="s">
        <v>11</v>
      </c>
      <c r="T10" s="68">
        <f ca="1">IF(DB_TBL_DATA_FIELDS[[#This Row],[RANGE_VALIDATION_FLAG]]="Text",LEN(DB_TBL_DATA_FIELDS[[#This Row],[FIELD_VALUE_RAW]]),IFERROR(VALUE(DB_TBL_DATA_FIELDS[[#This Row],[FIELD_VALUE_RAW]]),-1))</f>
        <v>1</v>
      </c>
      <c r="U10" s="68">
        <v>1</v>
      </c>
      <c r="V10" s="68">
        <v>1</v>
      </c>
      <c r="W10" s="68" t="b">
        <f ca="1">IF(NOT(DB_TBL_DATA_FIELDS[[#This Row],[RANGE_VALIDATION_ON_FLAG]]),TRUE,
AND(DB_TBL_DATA_FIELDS[[#This Row],[RANGE_VALUE_LEN]]&gt;=DB_TBL_DATA_FIELDS[[#This Row],[RANGE_VALIDATION_MIN]],DB_TBL_DATA_FIELDS[[#This Row],[RANGE_VALUE_LEN]]&lt;=DB_TBL_DATA_FIELDS[[#This Row],[RANGE_VALIDATION_MAX]]))</f>
        <v>1</v>
      </c>
      <c r="X10" s="68">
        <v>0</v>
      </c>
      <c r="Y10" s="69" t="str">
        <f ca="1">IF(DB_TBL_DATA_FIELDS[[#This Row],[PCT_CALC_SHOW_STATUS_CODE]]=1,
DB_TBL_DATA_FIELDS[[#This Row],[FIELD_STATUS_CODE]],
IF(AND(DB_TBL_DATA_FIELDS[[#This Row],[PCT_CALC_SHOW_STATUS_CODE]]=2,DB_TBL_DATA_FIELDS[[#This Row],[FIELD_STATUS_CODE]]=0),
DB_TBL_DATA_FIELDS[[#This Row],[FIELD_STATUS_CODE]],
"")
)</f>
        <v/>
      </c>
      <c r="Z10" s="69"/>
      <c r="AA10" s="73" t="s">
        <v>2561</v>
      </c>
      <c r="AB10" s="73" t="s">
        <v>2562</v>
      </c>
      <c r="AC10" s="68"/>
    </row>
    <row r="11" spans="1:29" x14ac:dyDescent="0.2">
      <c r="A11" s="4" t="s">
        <v>65</v>
      </c>
      <c r="B11" s="4" t="s">
        <v>64</v>
      </c>
      <c r="C11" s="16" t="str">
        <f ca="1">IF($H$10&lt;&gt;"R",IF(DB_TBL_DATA_FIELDS[[#This Row],[SHEET_REF_OWNER]]&lt;&gt;"",DB_TBL_DATA_FIELDS[[#This Row],[SHEET_REF_OWNER]],""),IF(DB_TBL_DATA_FIELDS[[#This Row],[SHEET_REF_RENTAL]]&lt;&gt;"",DB_TBL_DATA_FIELDS[[#This Row],[SHEET_REF_RENTAL]],""))</f>
        <v>RentalApp</v>
      </c>
      <c r="D11" s="32" t="s">
        <v>60</v>
      </c>
      <c r="E11" s="62" t="b">
        <v>0</v>
      </c>
      <c r="F11" s="25" t="b">
        <v>1</v>
      </c>
      <c r="G11" s="6" t="s">
        <v>61</v>
      </c>
      <c r="H11" s="10" t="str">
        <f ca="1">IFERROR(VLOOKUP(DB_TBL_DATA_FIELDS[[#This Row],[FIELD_ID]],INDIRECT(DB_TBL_DATA_FIELDS[[#This Row],[SHEET_REF_CALC]]&amp;"!A:B"),2,FALSE),"")</f>
        <v/>
      </c>
      <c r="I11" s="6"/>
      <c r="J11" s="6" t="b">
        <f ca="1">(DB_TBL_DATA_FIELDS[[#This Row],[FIELD_VALUE_RAW]]="")</f>
        <v>1</v>
      </c>
      <c r="K11" s="6" t="s">
        <v>11</v>
      </c>
      <c r="L11" s="8" t="b">
        <f ca="1">AND(IF(DB_TBL_DATA_FIELDS[[#This Row],[FIELD_VALID_CUSTOM_LOGIC]]="",TRUE,DB_TBL_DATA_FIELDS[[#This Row],[FIELD_VALID_CUSTOM_LOGIC]]),DB_TBL_DATA_FIELDS[[#This Row],[RANGE_VALIDATION_PASSED_FLAG]])</f>
        <v>1</v>
      </c>
      <c r="M11"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1" s="8">
        <f ca="1">IF(DB_TBL_DATA_FIELDS[[#This Row],[SHEET_REF_CALC]]="","",IF(DB_TBL_DATA_FIELDS[[#This Row],[FIELD_EMPTY_FLAG]],IF(NOT(DB_TBL_DATA_FIELDS[[#This Row],[FIELD_REQ_FLAG]]),-1,1),IF(NOT(DB_TBL_DATA_FIELDS[[#This Row],[FIELD_VALID_FLAG]]),0,2)))</f>
        <v>1</v>
      </c>
      <c r="O11" s="8" t="str">
        <f ca="1">IFERROR(VLOOKUP(DB_TBL_DATA_FIELDS[[#This Row],[FIELD_STATUS_CODE]],DB_TBL_CONFIG_FIELDSTATUSCODES[#All],3,FALSE),"")</f>
        <v>Required</v>
      </c>
      <c r="P11" s="8" t="str">
        <f ca="1">IFERROR(VLOOKUP(DB_TBL_DATA_FIELDS[[#This Row],[FIELD_STATUS_CODE]],DB_TBL_CONFIG_FIELDSTATUSCODES[#All],4,FALSE),"")</f>
        <v>i</v>
      </c>
      <c r="Q11" s="7" t="b">
        <v>1</v>
      </c>
      <c r="R11" s="8" t="b">
        <f>TRUE</f>
        <v>1</v>
      </c>
      <c r="S11" s="4" t="s">
        <v>11</v>
      </c>
      <c r="T11" s="8">
        <f ca="1">IF(DB_TBL_DATA_FIELDS[[#This Row],[RANGE_VALIDATION_FLAG]]="Text",LEN(DB_TBL_DATA_FIELDS[[#This Row],[FIELD_VALUE_RAW]]),IFERROR(VALUE(DB_TBL_DATA_FIELDS[[#This Row],[FIELD_VALUE_RAW]]),-1))</f>
        <v>0</v>
      </c>
      <c r="U11" s="8">
        <v>0</v>
      </c>
      <c r="V11" s="34">
        <v>100</v>
      </c>
      <c r="W11" s="8" t="b">
        <f ca="1">IF(NOT(DB_TBL_DATA_FIELDS[[#This Row],[RANGE_VALIDATION_ON_FLAG]]),TRUE,
AND(DB_TBL_DATA_FIELDS[[#This Row],[RANGE_VALUE_LEN]]&gt;=DB_TBL_DATA_FIELDS[[#This Row],[RANGE_VALIDATION_MIN]],DB_TBL_DATA_FIELDS[[#This Row],[RANGE_VALUE_LEN]]&lt;=DB_TBL_DATA_FIELDS[[#This Row],[RANGE_VALIDATION_MAX]]))</f>
        <v>1</v>
      </c>
      <c r="X11" s="16">
        <v>1</v>
      </c>
      <c r="Y11" s="16">
        <f ca="1">IF(DB_TBL_DATA_FIELDS[[#This Row],[PCT_CALC_SHOW_STATUS_CODE]]=1,
DB_TBL_DATA_FIELDS[[#This Row],[FIELD_STATUS_CODE]],
IF(AND(DB_TBL_DATA_FIELDS[[#This Row],[PCT_CALC_SHOW_STATUS_CODE]]=2,DB_TBL_DATA_FIELDS[[#This Row],[FIELD_STATUS_CODE]]=0),
DB_TBL_DATA_FIELDS[[#This Row],[FIELD_STATUS_CODE]],
"")
)</f>
        <v>1</v>
      </c>
      <c r="Z11" s="16"/>
      <c r="AA11" s="11" t="s">
        <v>2409</v>
      </c>
      <c r="AB11" s="11" t="s">
        <v>2406</v>
      </c>
      <c r="AC11" s="8"/>
    </row>
    <row r="12" spans="1:29" x14ac:dyDescent="0.2">
      <c r="A12" s="4" t="s">
        <v>65</v>
      </c>
      <c r="B12" s="4" t="s">
        <v>64</v>
      </c>
      <c r="C12" s="16" t="str">
        <f ca="1">IF($H$10&lt;&gt;"R",IF(DB_TBL_DATA_FIELDS[[#This Row],[SHEET_REF_OWNER]]&lt;&gt;"",DB_TBL_DATA_FIELDS[[#This Row],[SHEET_REF_OWNER]],""),IF(DB_TBL_DATA_FIELDS[[#This Row],[SHEET_REF_RENTAL]]&lt;&gt;"",DB_TBL_DATA_FIELDS[[#This Row],[SHEET_REF_RENTAL]],""))</f>
        <v>RentalApp</v>
      </c>
      <c r="D12" s="32" t="s">
        <v>177</v>
      </c>
      <c r="E12" s="15" t="b">
        <v>1</v>
      </c>
      <c r="F12" s="35" t="b">
        <v>1</v>
      </c>
      <c r="G12" s="6" t="s">
        <v>83</v>
      </c>
      <c r="H12" s="10" t="str">
        <f ca="1">IFERROR(VLOOKUP(DB_TBL_DATA_FIELDS[[#This Row],[FIELD_ID]],INDIRECT(DB_TBL_DATA_FIELDS[[#This Row],[SHEET_REF_CALC]]&amp;"!A:B"),2,FALSE),"")</f>
        <v/>
      </c>
      <c r="I12" s="11"/>
      <c r="J12" s="6" t="b">
        <f ca="1">(DB_TBL_DATA_FIELDS[[#This Row],[FIELD_VALUE_RAW]]="")</f>
        <v>1</v>
      </c>
      <c r="K12" s="6" t="s">
        <v>11</v>
      </c>
      <c r="L12" s="8" t="b">
        <f ca="1">AND(IF(DB_TBL_DATA_FIELDS[[#This Row],[FIELD_VALID_CUSTOM_LOGIC]]="",TRUE,DB_TBL_DATA_FIELDS[[#This Row],[FIELD_VALID_CUSTOM_LOGIC]]),DB_TBL_DATA_FIELDS[[#This Row],[RANGE_VALIDATION_PASSED_FLAG]])</f>
        <v>1</v>
      </c>
      <c r="M12"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2" s="8">
        <f ca="1">IF(DB_TBL_DATA_FIELDS[[#This Row],[SHEET_REF_CALC]]="","",IF(DB_TBL_DATA_FIELDS[[#This Row],[FIELD_EMPTY_FLAG]],IF(NOT(DB_TBL_DATA_FIELDS[[#This Row],[FIELD_REQ_FLAG]]),-1,1),IF(NOT(DB_TBL_DATA_FIELDS[[#This Row],[FIELD_VALID_FLAG]]),0,2)))</f>
        <v>1</v>
      </c>
      <c r="O12" s="8" t="str">
        <f ca="1">IFERROR(VLOOKUP(DB_TBL_DATA_FIELDS[[#This Row],[FIELD_STATUS_CODE]],DB_TBL_CONFIG_FIELDSTATUSCODES[#All],3,FALSE),"")</f>
        <v>Required</v>
      </c>
      <c r="P12" s="8" t="str">
        <f ca="1">IFERROR(VLOOKUP(DB_TBL_DATA_FIELDS[[#This Row],[FIELD_STATUS_CODE]],DB_TBL_CONFIG_FIELDSTATUSCODES[#All],4,FALSE),"")</f>
        <v>i</v>
      </c>
      <c r="Q12" s="7" t="b">
        <v>1</v>
      </c>
      <c r="R12" s="8" t="b">
        <f>TRUE</f>
        <v>1</v>
      </c>
      <c r="S12" s="4" t="s">
        <v>11</v>
      </c>
      <c r="T12" s="8">
        <f ca="1">IF(DB_TBL_DATA_FIELDS[[#This Row],[RANGE_VALIDATION_FLAG]]="Text",LEN(DB_TBL_DATA_FIELDS[[#This Row],[FIELD_VALUE_RAW]]),IFERROR(VALUE(DB_TBL_DATA_FIELDS[[#This Row],[FIELD_VALUE_RAW]]),-1))</f>
        <v>0</v>
      </c>
      <c r="U12" s="8">
        <v>0</v>
      </c>
      <c r="V12" s="34">
        <v>60</v>
      </c>
      <c r="W12" s="8" t="b">
        <f ca="1">IF(NOT(DB_TBL_DATA_FIELDS[[#This Row],[RANGE_VALIDATION_ON_FLAG]]),TRUE,
AND(DB_TBL_DATA_FIELDS[[#This Row],[RANGE_VALUE_LEN]]&gt;=DB_TBL_DATA_FIELDS[[#This Row],[RANGE_VALIDATION_MIN]],DB_TBL_DATA_FIELDS[[#This Row],[RANGE_VALUE_LEN]]&lt;=DB_TBL_DATA_FIELDS[[#This Row],[RANGE_VALIDATION_MAX]]))</f>
        <v>1</v>
      </c>
      <c r="X12" s="16">
        <v>1</v>
      </c>
      <c r="Y12" s="16">
        <f ca="1">IF(DB_TBL_DATA_FIELDS[[#This Row],[PCT_CALC_SHOW_STATUS_CODE]]=1,
DB_TBL_DATA_FIELDS[[#This Row],[FIELD_STATUS_CODE]],
IF(AND(DB_TBL_DATA_FIELDS[[#This Row],[PCT_CALC_SHOW_STATUS_CODE]]=2,DB_TBL_DATA_FIELDS[[#This Row],[FIELD_STATUS_CODE]]=0),
DB_TBL_DATA_FIELDS[[#This Row],[FIELD_STATUS_CODE]],
"")
)</f>
        <v>1</v>
      </c>
      <c r="Z12" s="16"/>
      <c r="AA12" s="11" t="s">
        <v>2410</v>
      </c>
      <c r="AB12" s="11" t="s">
        <v>2406</v>
      </c>
      <c r="AC12" s="8"/>
    </row>
    <row r="13" spans="1:29" x14ac:dyDescent="0.2">
      <c r="A13" s="4" t="s">
        <v>65</v>
      </c>
      <c r="B13" s="4" t="s">
        <v>64</v>
      </c>
      <c r="C13" s="16" t="str">
        <f ca="1">IF($H$10&lt;&gt;"R",IF(DB_TBL_DATA_FIELDS[[#This Row],[SHEET_REF_OWNER]]&lt;&gt;"",DB_TBL_DATA_FIELDS[[#This Row],[SHEET_REF_OWNER]],""),IF(DB_TBL_DATA_FIELDS[[#This Row],[SHEET_REF_RENTAL]]&lt;&gt;"",DB_TBL_DATA_FIELDS[[#This Row],[SHEET_REF_RENTAL]],""))</f>
        <v>RentalApp</v>
      </c>
      <c r="D13" s="63" t="s">
        <v>178</v>
      </c>
      <c r="E13" s="15" t="b">
        <v>1</v>
      </c>
      <c r="F13" s="23" t="b">
        <v>1</v>
      </c>
      <c r="G13" s="2" t="s">
        <v>87</v>
      </c>
      <c r="H13" s="10" t="str">
        <f ca="1">IFERROR(VLOOKUP(DB_TBL_DATA_FIELDS[[#This Row],[FIELD_ID]],INDIRECT(DB_TBL_DATA_FIELDS[[#This Row],[SHEET_REF_CALC]]&amp;"!A:B"),2,FALSE),"")</f>
        <v/>
      </c>
      <c r="I13" s="6"/>
      <c r="J13" s="2" t="b">
        <f ca="1">(DB_TBL_DATA_FIELDS[[#This Row],[FIELD_VALUE_RAW]]="")</f>
        <v>1</v>
      </c>
      <c r="K13" s="6" t="s">
        <v>11</v>
      </c>
      <c r="L13" s="7" t="b">
        <f ca="1">AND(IF(DB_TBL_DATA_FIELDS[[#This Row],[FIELD_VALID_CUSTOM_LOGIC]]="",TRUE,DB_TBL_DATA_FIELDS[[#This Row],[FIELD_VALID_CUSTOM_LOGIC]]),DB_TBL_DATA_FIELDS[[#This Row],[RANGE_VALIDATION_PASSED_FLAG]])</f>
        <v>1</v>
      </c>
      <c r="M13"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3" s="7">
        <f ca="1">IF(DB_TBL_DATA_FIELDS[[#This Row],[SHEET_REF_CALC]]="","",IF(DB_TBL_DATA_FIELDS[[#This Row],[FIELD_EMPTY_FLAG]],IF(NOT(DB_TBL_DATA_FIELDS[[#This Row],[FIELD_REQ_FLAG]]),-1,1),IF(NOT(DB_TBL_DATA_FIELDS[[#This Row],[FIELD_VALID_FLAG]]),0,2)))</f>
        <v>1</v>
      </c>
      <c r="O13" s="7" t="str">
        <f ca="1">IFERROR(VLOOKUP(DB_TBL_DATA_FIELDS[[#This Row],[FIELD_STATUS_CODE]],DB_TBL_CONFIG_FIELDSTATUSCODES[#All],3,FALSE),"")</f>
        <v>Required</v>
      </c>
      <c r="P13" s="7" t="str">
        <f ca="1">IFERROR(VLOOKUP(DB_TBL_DATA_FIELDS[[#This Row],[FIELD_STATUS_CODE]],DB_TBL_CONFIG_FIELDSTATUSCODES[#All],4,FALSE),"")</f>
        <v>i</v>
      </c>
      <c r="Q13" s="7" t="b">
        <v>1</v>
      </c>
      <c r="R13" s="7" t="b">
        <f>TRUE</f>
        <v>1</v>
      </c>
      <c r="S13" s="1" t="s">
        <v>11</v>
      </c>
      <c r="T13" s="7">
        <f ca="1">IF(DB_TBL_DATA_FIELDS[[#This Row],[RANGE_VALIDATION_FLAG]]="Text",LEN(DB_TBL_DATA_FIELDS[[#This Row],[FIELD_VALUE_RAW]]),IFERROR(VALUE(DB_TBL_DATA_FIELDS[[#This Row],[FIELD_VALUE_RAW]]),-1))</f>
        <v>0</v>
      </c>
      <c r="U13" s="7">
        <v>0</v>
      </c>
      <c r="V13" s="86">
        <v>30</v>
      </c>
      <c r="W13" s="7" t="b">
        <f ca="1">IF(NOT(DB_TBL_DATA_FIELDS[[#This Row],[RANGE_VALIDATION_ON_FLAG]]),TRUE,
AND(DB_TBL_DATA_FIELDS[[#This Row],[RANGE_VALUE_LEN]]&gt;=DB_TBL_DATA_FIELDS[[#This Row],[RANGE_VALIDATION_MIN]],DB_TBL_DATA_FIELDS[[#This Row],[RANGE_VALUE_LEN]]&lt;=DB_TBL_DATA_FIELDS[[#This Row],[RANGE_VALIDATION_MAX]]))</f>
        <v>1</v>
      </c>
      <c r="X13" s="16">
        <v>1</v>
      </c>
      <c r="Y13" s="16">
        <f ca="1">IF(DB_TBL_DATA_FIELDS[[#This Row],[PCT_CALC_SHOW_STATUS_CODE]]=1,
DB_TBL_DATA_FIELDS[[#This Row],[FIELD_STATUS_CODE]],
IF(AND(DB_TBL_DATA_FIELDS[[#This Row],[PCT_CALC_SHOW_STATUS_CODE]]=2,DB_TBL_DATA_FIELDS[[#This Row],[FIELD_STATUS_CODE]]=0),
DB_TBL_DATA_FIELDS[[#This Row],[FIELD_STATUS_CODE]],
"")
)</f>
        <v>1</v>
      </c>
      <c r="Z13" s="16"/>
      <c r="AA13" s="11" t="s">
        <v>2411</v>
      </c>
      <c r="AB13" s="11" t="s">
        <v>2406</v>
      </c>
      <c r="AC13" s="7"/>
    </row>
    <row r="14" spans="1:29" x14ac:dyDescent="0.2">
      <c r="A14" s="4" t="s">
        <v>65</v>
      </c>
      <c r="B14" s="4" t="s">
        <v>64</v>
      </c>
      <c r="C14" s="16" t="str">
        <f ca="1">IF($H$10&lt;&gt;"R",IF(DB_TBL_DATA_FIELDS[[#This Row],[SHEET_REF_OWNER]]&lt;&gt;"",DB_TBL_DATA_FIELDS[[#This Row],[SHEET_REF_OWNER]],""),IF(DB_TBL_DATA_FIELDS[[#This Row],[SHEET_REF_RENTAL]]&lt;&gt;"",DB_TBL_DATA_FIELDS[[#This Row],[SHEET_REF_RENTAL]],""))</f>
        <v>RentalApp</v>
      </c>
      <c r="D14" s="63" t="s">
        <v>179</v>
      </c>
      <c r="E14" s="15" t="b">
        <v>1</v>
      </c>
      <c r="F14" s="35" t="b">
        <v>1</v>
      </c>
      <c r="G14" s="2" t="s">
        <v>88</v>
      </c>
      <c r="H14" s="10" t="str">
        <f ca="1">IFERROR(VLOOKUP(DB_TBL_DATA_FIELDS[[#This Row],[FIELD_ID]],INDIRECT(DB_TBL_DATA_FIELDS[[#This Row],[SHEET_REF_CALC]]&amp;"!A:B"),2,FALSE),"")</f>
        <v/>
      </c>
      <c r="I14" s="10"/>
      <c r="J14" s="2" t="b">
        <f ca="1">(DB_TBL_DATA_FIELDS[[#This Row],[FIELD_VALUE_RAW]]="")</f>
        <v>1</v>
      </c>
      <c r="K14" s="6" t="s">
        <v>11</v>
      </c>
      <c r="L14" s="7" t="b">
        <f ca="1">AND(IF(DB_TBL_DATA_FIELDS[[#This Row],[FIELD_VALID_CUSTOM_LOGIC]]="",TRUE,DB_TBL_DATA_FIELDS[[#This Row],[FIELD_VALID_CUSTOM_LOGIC]]),DB_TBL_DATA_FIELDS[[#This Row],[RANGE_VALIDATION_PASSED_FLAG]])</f>
        <v>0</v>
      </c>
      <c r="M14"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4" s="7">
        <f ca="1">IF(DB_TBL_DATA_FIELDS[[#This Row],[SHEET_REF_CALC]]="","",IF(DB_TBL_DATA_FIELDS[[#This Row],[FIELD_EMPTY_FLAG]],IF(NOT(DB_TBL_DATA_FIELDS[[#This Row],[FIELD_REQ_FLAG]]),-1,1),IF(NOT(DB_TBL_DATA_FIELDS[[#This Row],[FIELD_VALID_FLAG]]),0,2)))</f>
        <v>1</v>
      </c>
      <c r="O14" s="7" t="str">
        <f ca="1">IFERROR(VLOOKUP(DB_TBL_DATA_FIELDS[[#This Row],[FIELD_STATUS_CODE]],DB_TBL_CONFIG_FIELDSTATUSCODES[#All],3,FALSE),"")</f>
        <v>Required</v>
      </c>
      <c r="P14" s="7" t="str">
        <f ca="1">IFERROR(VLOOKUP(DB_TBL_DATA_FIELDS[[#This Row],[FIELD_STATUS_CODE]],DB_TBL_CONFIG_FIELDSTATUSCODES[#All],4,FALSE),"")</f>
        <v>i</v>
      </c>
      <c r="Q14" s="7" t="b">
        <v>1</v>
      </c>
      <c r="R14" s="7" t="b">
        <f>TRUE</f>
        <v>1</v>
      </c>
      <c r="S14" s="1" t="s">
        <v>11</v>
      </c>
      <c r="T14" s="7">
        <f ca="1">IF(DB_TBL_DATA_FIELDS[[#This Row],[RANGE_VALIDATION_FLAG]]="Text",LEN(DB_TBL_DATA_FIELDS[[#This Row],[FIELD_VALUE_RAW]]),IFERROR(VALUE(DB_TBL_DATA_FIELDS[[#This Row],[FIELD_VALUE_RAW]]),-1))</f>
        <v>0</v>
      </c>
      <c r="U14" s="7">
        <v>2</v>
      </c>
      <c r="V14" s="86">
        <v>2</v>
      </c>
      <c r="W14" s="7" t="b">
        <f ca="1">IF(NOT(DB_TBL_DATA_FIELDS[[#This Row],[RANGE_VALIDATION_ON_FLAG]]),TRUE,
AND(DB_TBL_DATA_FIELDS[[#This Row],[RANGE_VALUE_LEN]]&gt;=DB_TBL_DATA_FIELDS[[#This Row],[RANGE_VALIDATION_MIN]],DB_TBL_DATA_FIELDS[[#This Row],[RANGE_VALUE_LEN]]&lt;=DB_TBL_DATA_FIELDS[[#This Row],[RANGE_VALIDATION_MAX]]))</f>
        <v>0</v>
      </c>
      <c r="X14" s="16">
        <v>1</v>
      </c>
      <c r="Y14" s="16">
        <f ca="1">IF(DB_TBL_DATA_FIELDS[[#This Row],[PCT_CALC_SHOW_STATUS_CODE]]=1,
DB_TBL_DATA_FIELDS[[#This Row],[FIELD_STATUS_CODE]],
IF(AND(DB_TBL_DATA_FIELDS[[#This Row],[PCT_CALC_SHOW_STATUS_CODE]]=2,DB_TBL_DATA_FIELDS[[#This Row],[FIELD_STATUS_CODE]]=0),
DB_TBL_DATA_FIELDS[[#This Row],[FIELD_STATUS_CODE]],
"")
)</f>
        <v>1</v>
      </c>
      <c r="Z14" s="16"/>
      <c r="AA14" s="11" t="s">
        <v>2412</v>
      </c>
      <c r="AB14" s="11" t="s">
        <v>2406</v>
      </c>
      <c r="AC14" s="7"/>
    </row>
    <row r="15" spans="1:29" x14ac:dyDescent="0.2">
      <c r="A15" s="4" t="s">
        <v>65</v>
      </c>
      <c r="B15" s="4" t="s">
        <v>64</v>
      </c>
      <c r="C15" s="16" t="str">
        <f ca="1">IF($H$10&lt;&gt;"R",IF(DB_TBL_DATA_FIELDS[[#This Row],[SHEET_REF_OWNER]]&lt;&gt;"",DB_TBL_DATA_FIELDS[[#This Row],[SHEET_REF_OWNER]],""),IF(DB_TBL_DATA_FIELDS[[#This Row],[SHEET_REF_RENTAL]]&lt;&gt;"",DB_TBL_DATA_FIELDS[[#This Row],[SHEET_REF_RENTAL]],""))</f>
        <v>RentalApp</v>
      </c>
      <c r="D15" s="63" t="s">
        <v>3567</v>
      </c>
      <c r="E15" s="1" t="b">
        <v>0</v>
      </c>
      <c r="F15" s="23" t="b">
        <v>0</v>
      </c>
      <c r="G15" s="2" t="s">
        <v>3568</v>
      </c>
      <c r="H15" s="44" t="str">
        <f ca="1">IF(PROJ_STATE="","",OR(PROJ_STATE="CA",PROJ_STATE="NV",PROJ_STATE="AZ"))</f>
        <v/>
      </c>
      <c r="I15" s="10"/>
      <c r="J15" s="2" t="b">
        <f ca="1">(DB_TBL_DATA_FIELDS[[#This Row],[FIELD_VALUE_RAW]]="")</f>
        <v>1</v>
      </c>
      <c r="K15" s="6" t="s">
        <v>209</v>
      </c>
      <c r="L15" s="7" t="b">
        <f>AND(IF(DB_TBL_DATA_FIELDS[[#This Row],[FIELD_VALID_CUSTOM_LOGIC]]="",TRUE,DB_TBL_DATA_FIELDS[[#This Row],[FIELD_VALID_CUSTOM_LOGIC]]),DB_TBL_DATA_FIELDS[[#This Row],[RANGE_VALIDATION_PASSED_FLAG]])</f>
        <v>1</v>
      </c>
      <c r="M15"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5" s="7">
        <f ca="1">IF(DB_TBL_DATA_FIELDS[[#This Row],[SHEET_REF_CALC]]="","",IF(DB_TBL_DATA_FIELDS[[#This Row],[FIELD_EMPTY_FLAG]],IF(NOT(DB_TBL_DATA_FIELDS[[#This Row],[FIELD_REQ_FLAG]]),-1,1),IF(NOT(DB_TBL_DATA_FIELDS[[#This Row],[FIELD_VALID_FLAG]]),0,2)))</f>
        <v>-1</v>
      </c>
      <c r="O15" s="7" t="str">
        <f ca="1">IFERROR(VLOOKUP(DB_TBL_DATA_FIELDS[[#This Row],[FIELD_STATUS_CODE]],DB_TBL_CONFIG_FIELDSTATUSCODES[#All],3,FALSE),"")</f>
        <v>Optional</v>
      </c>
      <c r="P15" s="7" t="str">
        <f ca="1">IFERROR(VLOOKUP(DB_TBL_DATA_FIELDS[[#This Row],[FIELD_STATUS_CODE]],DB_TBL_CONFIG_FIELDSTATUSCODES[#All],4,FALSE),"")</f>
        <v xml:space="preserve"> </v>
      </c>
      <c r="Q15" s="7" t="b">
        <f>TRUE</f>
        <v>1</v>
      </c>
      <c r="R15" s="7" t="b">
        <v>0</v>
      </c>
      <c r="T15" s="7">
        <f ca="1">IF(DB_TBL_DATA_FIELDS[[#This Row],[RANGE_VALIDATION_FLAG]]="Text",LEN(DB_TBL_DATA_FIELDS[[#This Row],[FIELD_VALUE_RAW]]),IFERROR(VALUE(DB_TBL_DATA_FIELDS[[#This Row],[FIELD_VALUE_RAW]]),-1))</f>
        <v>-1</v>
      </c>
      <c r="U15" s="7">
        <v>0</v>
      </c>
      <c r="V15" s="86">
        <v>10</v>
      </c>
      <c r="W15" s="7" t="b">
        <f>IF(NOT(DB_TBL_DATA_FIELDS[[#This Row],[RANGE_VALIDATION_ON_FLAG]]),TRUE,
AND(DB_TBL_DATA_FIELDS[[#This Row],[RANGE_VALUE_LEN]]&gt;=DB_TBL_DATA_FIELDS[[#This Row],[RANGE_VALIDATION_MIN]],DB_TBL_DATA_FIELDS[[#This Row],[RANGE_VALUE_LEN]]&lt;=DB_TBL_DATA_FIELDS[[#This Row],[RANGE_VALIDATION_MAX]]))</f>
        <v>1</v>
      </c>
      <c r="X15" s="7">
        <v>0</v>
      </c>
      <c r="Y15" s="7" t="str">
        <f ca="1">IF(DB_TBL_DATA_FIELDS[[#This Row],[PCT_CALC_SHOW_STATUS_CODE]]=1,
DB_TBL_DATA_FIELDS[[#This Row],[FIELD_STATUS_CODE]],
IF(AND(DB_TBL_DATA_FIELDS[[#This Row],[PCT_CALC_SHOW_STATUS_CODE]]=2,DB_TBL_DATA_FIELDS[[#This Row],[FIELD_STATUS_CODE]]=0),
DB_TBL_DATA_FIELDS[[#This Row],[FIELD_STATUS_CODE]],
"")
)</f>
        <v/>
      </c>
      <c r="Z15" s="7"/>
      <c r="AA15" s="11" t="s">
        <v>3569</v>
      </c>
      <c r="AB15" s="11" t="s">
        <v>2406</v>
      </c>
      <c r="AC15" s="7" t="s">
        <v>3566</v>
      </c>
    </row>
    <row r="16" spans="1:29" x14ac:dyDescent="0.2">
      <c r="A16" s="4" t="s">
        <v>65</v>
      </c>
      <c r="B16" s="4" t="s">
        <v>64</v>
      </c>
      <c r="C16" s="16" t="str">
        <f ca="1">IF($H$10&lt;&gt;"R",IF(DB_TBL_DATA_FIELDS[[#This Row],[SHEET_REF_OWNER]]&lt;&gt;"",DB_TBL_DATA_FIELDS[[#This Row],[SHEET_REF_OWNER]],""),IF(DB_TBL_DATA_FIELDS[[#This Row],[SHEET_REF_RENTAL]]&lt;&gt;"",DB_TBL_DATA_FIELDS[[#This Row],[SHEET_REF_RENTAL]],""))</f>
        <v>RentalApp</v>
      </c>
      <c r="D16" s="63" t="s">
        <v>180</v>
      </c>
      <c r="E16" s="15" t="b">
        <v>1</v>
      </c>
      <c r="F16" s="23" t="b">
        <v>1</v>
      </c>
      <c r="G16" s="2" t="s">
        <v>89</v>
      </c>
      <c r="H16" s="10" t="str">
        <f ca="1">IFERROR(VLOOKUP(DB_TBL_DATA_FIELDS[[#This Row],[FIELD_ID]],INDIRECT(DB_TBL_DATA_FIELDS[[#This Row],[SHEET_REF_CALC]]&amp;"!A:B"),2,FALSE),"")</f>
        <v/>
      </c>
      <c r="I16" s="44" t="b">
        <f ca="1">NOT(LEFT(DB_TBL_DATA_FIELDS[[#This Row],[FIELD_VALUE_RAW]],1)="-")</f>
        <v>1</v>
      </c>
      <c r="J16" s="2" t="b">
        <f ca="1">(DB_TBL_DATA_FIELDS[[#This Row],[FIELD_VALUE_RAW]]="")</f>
        <v>1</v>
      </c>
      <c r="K16" s="6" t="s">
        <v>11</v>
      </c>
      <c r="L16" s="7" t="b">
        <f ca="1">AND(IF(DB_TBL_DATA_FIELDS[[#This Row],[FIELD_VALID_CUSTOM_LOGIC]]="",TRUE,DB_TBL_DATA_FIELDS[[#This Row],[FIELD_VALID_CUSTOM_LOGIC]]),DB_TBL_DATA_FIELDS[[#This Row],[RANGE_VALIDATION_PASSED_FLAG]])</f>
        <v>0</v>
      </c>
      <c r="M16"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6" s="7">
        <f ca="1">IF(DB_TBL_DATA_FIELDS[[#This Row],[SHEET_REF_CALC]]="","",IF(DB_TBL_DATA_FIELDS[[#This Row],[FIELD_EMPTY_FLAG]],IF(NOT(DB_TBL_DATA_FIELDS[[#This Row],[FIELD_REQ_FLAG]]),-1,1),IF(NOT(DB_TBL_DATA_FIELDS[[#This Row],[FIELD_VALID_FLAG]]),0,2)))</f>
        <v>1</v>
      </c>
      <c r="O16" s="7" t="str">
        <f ca="1">IFERROR(VLOOKUP(DB_TBL_DATA_FIELDS[[#This Row],[FIELD_STATUS_CODE]],DB_TBL_CONFIG_FIELDSTATUSCODES[#All],3,FALSE),"")</f>
        <v>Required</v>
      </c>
      <c r="P16" s="7" t="str">
        <f ca="1">IFERROR(VLOOKUP(DB_TBL_DATA_FIELDS[[#This Row],[FIELD_STATUS_CODE]],DB_TBL_CONFIG_FIELDSTATUSCODES[#All],4,FALSE),"")</f>
        <v>i</v>
      </c>
      <c r="Q16" s="7" t="b">
        <v>1</v>
      </c>
      <c r="R16" s="7" t="b">
        <f>TRUE</f>
        <v>1</v>
      </c>
      <c r="S16" s="1" t="s">
        <v>11</v>
      </c>
      <c r="T16" s="7">
        <f ca="1">IF(DB_TBL_DATA_FIELDS[[#This Row],[RANGE_VALIDATION_FLAG]]="Text",LEN(DB_TBL_DATA_FIELDS[[#This Row],[FIELD_VALUE_RAW]]),IFERROR(VALUE(DB_TBL_DATA_FIELDS[[#This Row],[FIELD_VALUE_RAW]]),-1))</f>
        <v>0</v>
      </c>
      <c r="U16" s="7">
        <v>5</v>
      </c>
      <c r="V16" s="86">
        <v>10</v>
      </c>
      <c r="W16" s="7" t="b">
        <f ca="1">IF(NOT(DB_TBL_DATA_FIELDS[[#This Row],[RANGE_VALIDATION_ON_FLAG]]),TRUE,
AND(DB_TBL_DATA_FIELDS[[#This Row],[RANGE_VALUE_LEN]]&gt;=DB_TBL_DATA_FIELDS[[#This Row],[RANGE_VALIDATION_MIN]],DB_TBL_DATA_FIELDS[[#This Row],[RANGE_VALUE_LEN]]&lt;=DB_TBL_DATA_FIELDS[[#This Row],[RANGE_VALIDATION_MAX]]))</f>
        <v>0</v>
      </c>
      <c r="X16" s="16">
        <v>1</v>
      </c>
      <c r="Y16" s="16">
        <f ca="1">IF(DB_TBL_DATA_FIELDS[[#This Row],[PCT_CALC_SHOW_STATUS_CODE]]=1,
DB_TBL_DATA_FIELDS[[#This Row],[FIELD_STATUS_CODE]],
IF(AND(DB_TBL_DATA_FIELDS[[#This Row],[PCT_CALC_SHOW_STATUS_CODE]]=2,DB_TBL_DATA_FIELDS[[#This Row],[FIELD_STATUS_CODE]]=0),
DB_TBL_DATA_FIELDS[[#This Row],[FIELD_STATUS_CODE]],
"")
)</f>
        <v>1</v>
      </c>
      <c r="Z16" s="16"/>
      <c r="AA16" s="11" t="s">
        <v>2413</v>
      </c>
      <c r="AB16" s="11" t="s">
        <v>2406</v>
      </c>
      <c r="AC16" s="7"/>
    </row>
    <row r="17" spans="1:29" x14ac:dyDescent="0.2">
      <c r="A17" s="4" t="s">
        <v>65</v>
      </c>
      <c r="B17" s="4" t="s">
        <v>64</v>
      </c>
      <c r="C17" s="16" t="str">
        <f ca="1">IF($H$10&lt;&gt;"R",IF(DB_TBL_DATA_FIELDS[[#This Row],[SHEET_REF_OWNER]]&lt;&gt;"",DB_TBL_DATA_FIELDS[[#This Row],[SHEET_REF_OWNER]],""),IF(DB_TBL_DATA_FIELDS[[#This Row],[SHEET_REF_RENTAL]]&lt;&gt;"",DB_TBL_DATA_FIELDS[[#This Row],[SHEET_REF_RENTAL]],""))</f>
        <v>RentalApp</v>
      </c>
      <c r="D17" s="32" t="s">
        <v>181</v>
      </c>
      <c r="E17" s="15" t="b">
        <v>1</v>
      </c>
      <c r="F17" s="25" t="b">
        <v>1</v>
      </c>
      <c r="G17" s="6" t="s">
        <v>148</v>
      </c>
      <c r="H17" s="44" t="str">
        <f ca="1">PROPER(IFERROR(VLOOKUP(DB_TBL_DATA_FIELDS[[#This Row],[FIELD_ID]],INDIRECT(DB_TBL_DATA_FIELDS[[#This Row],[SHEET_REF_CALC]]&amp;"!A:B"),2,FALSE),""))</f>
        <v/>
      </c>
      <c r="I17" s="44" t="b">
        <f ca="1">(DB_TBL_DATA_FIELDS[[#This Row],[FIELD_VALUE_RAW]]&lt;&gt;RANGE_LOOKUP_COUNTY_PLACEHOLDER)</f>
        <v>1</v>
      </c>
      <c r="J17" s="6" t="b">
        <f ca="1">(DB_TBL_DATA_FIELDS[[#This Row],[FIELD_VALUE_RAW]]="")</f>
        <v>1</v>
      </c>
      <c r="K17" s="6" t="s">
        <v>11</v>
      </c>
      <c r="L17" s="8" t="b">
        <f ca="1">AND(IF(DB_TBL_DATA_FIELDS[[#This Row],[FIELD_VALID_CUSTOM_LOGIC]]="",TRUE,DB_TBL_DATA_FIELDS[[#This Row],[FIELD_VALID_CUSTOM_LOGIC]]),DB_TBL_DATA_FIELDS[[#This Row],[RANGE_VALIDATION_PASSED_FLAG]])</f>
        <v>1</v>
      </c>
      <c r="M17"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7" s="8">
        <f ca="1">IF(DB_TBL_DATA_FIELDS[[#This Row],[SHEET_REF_CALC]]="","",IF(DB_TBL_DATA_FIELDS[[#This Row],[FIELD_EMPTY_FLAG]],IF(NOT(DB_TBL_DATA_FIELDS[[#This Row],[FIELD_REQ_FLAG]]),-1,1),IF(NOT(DB_TBL_DATA_FIELDS[[#This Row],[FIELD_VALID_FLAG]]),0,2)))</f>
        <v>1</v>
      </c>
      <c r="O17" s="8" t="str">
        <f ca="1">IFERROR(VLOOKUP(DB_TBL_DATA_FIELDS[[#This Row],[FIELD_STATUS_CODE]],DB_TBL_CONFIG_FIELDSTATUSCODES[#All],3,FALSE),"")</f>
        <v>Required</v>
      </c>
      <c r="P17" s="8" t="str">
        <f ca="1">IFERROR(VLOOKUP(DB_TBL_DATA_FIELDS[[#This Row],[FIELD_STATUS_CODE]],DB_TBL_CONFIG_FIELDSTATUSCODES[#All],4,FALSE),"")</f>
        <v>i</v>
      </c>
      <c r="Q17" s="7" t="b">
        <v>1</v>
      </c>
      <c r="R17" s="8" t="b">
        <f>TRUE</f>
        <v>1</v>
      </c>
      <c r="S17" s="4" t="s">
        <v>11</v>
      </c>
      <c r="T17" s="8">
        <f ca="1">IF(DB_TBL_DATA_FIELDS[[#This Row],[RANGE_VALIDATION_FLAG]]="Text",LEN(DB_TBL_DATA_FIELDS[[#This Row],[FIELD_VALUE_RAW]]),IFERROR(VALUE(DB_TBL_DATA_FIELDS[[#This Row],[FIELD_VALUE_RAW]]),-1))</f>
        <v>0</v>
      </c>
      <c r="U17" s="8">
        <v>0</v>
      </c>
      <c r="V17" s="34">
        <v>38</v>
      </c>
      <c r="W17" s="8" t="b">
        <f ca="1">IF(NOT(DB_TBL_DATA_FIELDS[[#This Row],[RANGE_VALIDATION_ON_FLAG]]),TRUE,
AND(DB_TBL_DATA_FIELDS[[#This Row],[RANGE_VALUE_LEN]]&gt;=DB_TBL_DATA_FIELDS[[#This Row],[RANGE_VALIDATION_MIN]],DB_TBL_DATA_FIELDS[[#This Row],[RANGE_VALUE_LEN]]&lt;=DB_TBL_DATA_FIELDS[[#This Row],[RANGE_VALIDATION_MAX]]))</f>
        <v>1</v>
      </c>
      <c r="X17" s="16">
        <v>1</v>
      </c>
      <c r="Y17" s="16">
        <f ca="1">IF(DB_TBL_DATA_FIELDS[[#This Row],[PCT_CALC_SHOW_STATUS_CODE]]=1,
DB_TBL_DATA_FIELDS[[#This Row],[FIELD_STATUS_CODE]],
IF(AND(DB_TBL_DATA_FIELDS[[#This Row],[PCT_CALC_SHOW_STATUS_CODE]]=2,DB_TBL_DATA_FIELDS[[#This Row],[FIELD_STATUS_CODE]]=0),
DB_TBL_DATA_FIELDS[[#This Row],[FIELD_STATUS_CODE]],
"")
)</f>
        <v>1</v>
      </c>
      <c r="Z17" s="16"/>
      <c r="AA17" s="11" t="s">
        <v>2414</v>
      </c>
      <c r="AB17" s="11" t="s">
        <v>2406</v>
      </c>
      <c r="AC17" s="8"/>
    </row>
    <row r="18" spans="1:29" x14ac:dyDescent="0.2">
      <c r="A18" s="4" t="s">
        <v>65</v>
      </c>
      <c r="B18" s="4" t="s">
        <v>64</v>
      </c>
      <c r="C18" s="21" t="str">
        <f ca="1">IF($H$10&lt;&gt;"R",IF(DB_TBL_DATA_FIELDS[[#This Row],[SHEET_REF_OWNER]]&lt;&gt;"",DB_TBL_DATA_FIELDS[[#This Row],[SHEET_REF_OWNER]],""),IF(DB_TBL_DATA_FIELDS[[#This Row],[SHEET_REF_RENTAL]]&lt;&gt;"",DB_TBL_DATA_FIELDS[[#This Row],[SHEET_REF_RENTAL]],""))</f>
        <v>RentalApp</v>
      </c>
      <c r="D18" s="32" t="s">
        <v>182</v>
      </c>
      <c r="E18" s="19" t="b">
        <v>1</v>
      </c>
      <c r="F18" s="25" t="b">
        <v>1</v>
      </c>
      <c r="G18" s="6" t="s">
        <v>90</v>
      </c>
      <c r="H18" s="11" t="str">
        <f ca="1">IFERROR(VLOOKUP(DB_TBL_DATA_FIELDS[[#This Row],[FIELD_ID]],INDIRECT(DB_TBL_DATA_FIELDS[[#This Row],[SHEET_REF_CALC]]&amp;"!A:B"),2,FALSE),"")</f>
        <v/>
      </c>
      <c r="I18" s="29" t="b">
        <f ca="1">NOT(LEFT(DB_TBL_DATA_FIELDS[[#This Row],[FIELD_VALUE_RAW]],1)=".")</f>
        <v>1</v>
      </c>
      <c r="J18" s="6" t="b">
        <f ca="1">(DB_TBL_DATA_FIELDS[[#This Row],[FIELD_VALUE_RAW]]="")</f>
        <v>1</v>
      </c>
      <c r="K18" s="6" t="s">
        <v>11</v>
      </c>
      <c r="L18" s="8" t="b">
        <f ca="1">AND(IF(DB_TBL_DATA_FIELDS[[#This Row],[FIELD_VALID_CUSTOM_LOGIC]]="",TRUE,DB_TBL_DATA_FIELDS[[#This Row],[FIELD_VALID_CUSTOM_LOGIC]]),DB_TBL_DATA_FIELDS[[#This Row],[RANGE_VALIDATION_PASSED_FLAG]])</f>
        <v>0</v>
      </c>
      <c r="M18"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8" s="8">
        <f ca="1">IF(DB_TBL_DATA_FIELDS[[#This Row],[SHEET_REF_CALC]]="","",IF(DB_TBL_DATA_FIELDS[[#This Row],[FIELD_EMPTY_FLAG]],IF(NOT(DB_TBL_DATA_FIELDS[[#This Row],[FIELD_REQ_FLAG]]),-1,1),IF(NOT(DB_TBL_DATA_FIELDS[[#This Row],[FIELD_VALID_FLAG]]),0,2)))</f>
        <v>1</v>
      </c>
      <c r="O18" s="8" t="str">
        <f ca="1">IFERROR(VLOOKUP(DB_TBL_DATA_FIELDS[[#This Row],[FIELD_STATUS_CODE]],DB_TBL_CONFIG_FIELDSTATUSCODES[#All],3,FALSE),"")</f>
        <v>Required</v>
      </c>
      <c r="P18" s="8" t="str">
        <f ca="1">IFERROR(VLOOKUP(DB_TBL_DATA_FIELDS[[#This Row],[FIELD_STATUS_CODE]],DB_TBL_CONFIG_FIELDSTATUSCODES[#All],4,FALSE),"")</f>
        <v>i</v>
      </c>
      <c r="Q18" s="8" t="b">
        <v>1</v>
      </c>
      <c r="R18" s="8" t="b">
        <f>TRUE</f>
        <v>1</v>
      </c>
      <c r="S18" s="4" t="s">
        <v>11</v>
      </c>
      <c r="T18" s="8">
        <f ca="1">IF(DB_TBL_DATA_FIELDS[[#This Row],[RANGE_VALIDATION_FLAG]]="Text",LEN(DB_TBL_DATA_FIELDS[[#This Row],[FIELD_VALUE_RAW]]),IFERROR(VALUE(DB_TBL_DATA_FIELDS[[#This Row],[FIELD_VALUE_RAW]]),-1))</f>
        <v>0</v>
      </c>
      <c r="U18" s="8">
        <v>7</v>
      </c>
      <c r="V18" s="8">
        <v>8</v>
      </c>
      <c r="W18" s="8" t="b">
        <f ca="1">IF(NOT(DB_TBL_DATA_FIELDS[[#This Row],[RANGE_VALIDATION_ON_FLAG]]),TRUE,
AND(DB_TBL_DATA_FIELDS[[#This Row],[RANGE_VALUE_LEN]]&gt;=DB_TBL_DATA_FIELDS[[#This Row],[RANGE_VALIDATION_MIN]],DB_TBL_DATA_FIELDS[[#This Row],[RANGE_VALUE_LEN]]&lt;=DB_TBL_DATA_FIELDS[[#This Row],[RANGE_VALIDATION_MAX]]))</f>
        <v>0</v>
      </c>
      <c r="X18" s="21">
        <v>1</v>
      </c>
      <c r="Y18" s="21">
        <f ca="1">IF(DB_TBL_DATA_FIELDS[[#This Row],[PCT_CALC_SHOW_STATUS_CODE]]=1,
DB_TBL_DATA_FIELDS[[#This Row],[FIELD_STATUS_CODE]],
IF(AND(DB_TBL_DATA_FIELDS[[#This Row],[PCT_CALC_SHOW_STATUS_CODE]]=2,DB_TBL_DATA_FIELDS[[#This Row],[FIELD_STATUS_CODE]]=0),
DB_TBL_DATA_FIELDS[[#This Row],[FIELD_STATUS_CODE]],
"")
)</f>
        <v>1</v>
      </c>
      <c r="Z18" s="21"/>
      <c r="AA18" s="11" t="s">
        <v>2415</v>
      </c>
      <c r="AB18" s="11" t="s">
        <v>2406</v>
      </c>
      <c r="AC18" s="8"/>
    </row>
    <row r="19" spans="1:29" ht="13.5" thickBot="1" x14ac:dyDescent="0.25">
      <c r="A19" s="67" t="s">
        <v>65</v>
      </c>
      <c r="B19" s="67" t="s">
        <v>64</v>
      </c>
      <c r="C19" s="68" t="str">
        <f ca="1">IF('$DB.CONFIG'!$D$3="R",DB_TBL_DATA_FIELDS[SHEET_REF_RENTAL],DB_TBL_DATA_FIELDS[SHEET_REF_OWNER])</f>
        <v>RentalApp</v>
      </c>
      <c r="D19" s="65" t="s">
        <v>3507</v>
      </c>
      <c r="E19" s="67" t="b">
        <v>0</v>
      </c>
      <c r="F19" s="71" t="b">
        <v>0</v>
      </c>
      <c r="G19" s="72" t="s">
        <v>3508</v>
      </c>
      <c r="H19" s="73" t="str">
        <f ca="1">IFERROR(VLOOKUP(DB_TBL_DATA_FIELDS[[#This Row],[FIELD_ID]],INDIRECT(DB_TBL_DATA_FIELDS[[#This Row],[SHEET_REF_CALC]]&amp;"!A:B"),2,FALSE),"")</f>
        <v/>
      </c>
      <c r="I19" s="73"/>
      <c r="J19" s="72" t="b">
        <f ca="1">(DB_TBL_DATA_FIELDS[[#This Row],[FIELD_VALUE_RAW]]="")</f>
        <v>1</v>
      </c>
      <c r="K19" s="72" t="s">
        <v>11</v>
      </c>
      <c r="L19" s="68" t="b">
        <f ca="1">AND(IF(DB_TBL_DATA_FIELDS[[#This Row],[FIELD_VALID_CUSTOM_LOGIC]]="",TRUE,DB_TBL_DATA_FIELDS[[#This Row],[FIELD_VALID_CUSTOM_LOGIC]]),DB_TBL_DATA_FIELDS[[#This Row],[RANGE_VALIDATION_PASSED_FLAG]])</f>
        <v>1</v>
      </c>
      <c r="M19" s="7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9" s="68">
        <f ca="1">IF(DB_TBL_DATA_FIELDS[[#This Row],[SHEET_REF_CALC]]="","",IF(DB_TBL_DATA_FIELDS[[#This Row],[FIELD_EMPTY_FLAG]],IF(NOT(DB_TBL_DATA_FIELDS[[#This Row],[FIELD_REQ_FLAG]]),-1,1),IF(NOT(DB_TBL_DATA_FIELDS[[#This Row],[FIELD_VALID_FLAG]]),0,2)))</f>
        <v>-1</v>
      </c>
      <c r="O19" s="68" t="str">
        <f ca="1">IFERROR(VLOOKUP(DB_TBL_DATA_FIELDS[[#This Row],[FIELD_STATUS_CODE]],DB_TBL_CONFIG_FIELDSTATUSCODES[#All],3,FALSE),"")</f>
        <v>Optional</v>
      </c>
      <c r="P19" s="68" t="str">
        <f ca="1">IFERROR(VLOOKUP(DB_TBL_DATA_FIELDS[[#This Row],[FIELD_STATUS_CODE]],DB_TBL_CONFIG_FIELDSTATUSCODES[#All],4,FALSE),"")</f>
        <v xml:space="preserve"> </v>
      </c>
      <c r="Q19" s="68" t="b">
        <f>TRUE</f>
        <v>1</v>
      </c>
      <c r="R19" s="68" t="b">
        <f>TRUE</f>
        <v>1</v>
      </c>
      <c r="S19" s="67" t="s">
        <v>11</v>
      </c>
      <c r="T19" s="68">
        <f ca="1">IF(DB_TBL_DATA_FIELDS[[#This Row],[RANGE_VALIDATION_FLAG]]="Text",LEN(DB_TBL_DATA_FIELDS[[#This Row],[FIELD_VALUE_RAW]]),IFERROR(VALUE(DB_TBL_DATA_FIELDS[[#This Row],[FIELD_VALUE_RAW]]),-1))</f>
        <v>0</v>
      </c>
      <c r="U19" s="68">
        <v>0</v>
      </c>
      <c r="V19" s="68">
        <v>32767</v>
      </c>
      <c r="W19" s="68" t="b">
        <f ca="1">IF(NOT(DB_TBL_DATA_FIELDS[[#This Row],[RANGE_VALIDATION_ON_FLAG]]),TRUE,
AND(DB_TBL_DATA_FIELDS[[#This Row],[RANGE_VALUE_LEN]]&gt;=DB_TBL_DATA_FIELDS[[#This Row],[RANGE_VALIDATION_MIN]],DB_TBL_DATA_FIELDS[[#This Row],[RANGE_VALUE_LEN]]&lt;=DB_TBL_DATA_FIELDS[[#This Row],[RANGE_VALIDATION_MAX]]))</f>
        <v>1</v>
      </c>
      <c r="X19" s="68">
        <v>1</v>
      </c>
      <c r="Y19" s="68">
        <f ca="1">IF(DB_TBL_DATA_FIELDS[[#This Row],[PCT_CALC_SHOW_STATUS_CODE]]=1,
DB_TBL_DATA_FIELDS[[#This Row],[FIELD_STATUS_CODE]],
IF(AND(DB_TBL_DATA_FIELDS[[#This Row],[PCT_CALC_SHOW_STATUS_CODE]]=2,DB_TBL_DATA_FIELDS[[#This Row],[FIELD_STATUS_CODE]]=0),
DB_TBL_DATA_FIELDS[[#This Row],[FIELD_STATUS_CODE]],
"")
)</f>
        <v>-1</v>
      </c>
      <c r="Z19" s="68"/>
      <c r="AA19" s="73"/>
      <c r="AB19" s="73" t="s">
        <v>2406</v>
      </c>
      <c r="AC19" s="68" t="s">
        <v>3509</v>
      </c>
    </row>
    <row r="20" spans="1:29" x14ac:dyDescent="0.2">
      <c r="A20" s="4" t="s">
        <v>65</v>
      </c>
      <c r="B20" s="4" t="s">
        <v>64</v>
      </c>
      <c r="C20" s="16" t="str">
        <f ca="1">IF($H$10&lt;&gt;"R",IF(DB_TBL_DATA_FIELDS[[#This Row],[SHEET_REF_OWNER]]&lt;&gt;"",DB_TBL_DATA_FIELDS[[#This Row],[SHEET_REF_OWNER]],""),IF(DB_TBL_DATA_FIELDS[[#This Row],[SHEET_REF_RENTAL]]&lt;&gt;"",DB_TBL_DATA_FIELDS[[#This Row],[SHEET_REF_RENTAL]],""))</f>
        <v>RentalApp</v>
      </c>
      <c r="D20" s="32" t="s">
        <v>2395</v>
      </c>
      <c r="E20" s="4" t="b">
        <v>0</v>
      </c>
      <c r="F20" s="25" t="b">
        <v>1</v>
      </c>
      <c r="G20" s="6" t="s">
        <v>171</v>
      </c>
      <c r="H20" s="10" t="str">
        <f ca="1">IFERROR(VLOOKUP(DB_TBL_DATA_FIELDS[[#This Row],[FIELD_ID]],INDIRECT(DB_TBL_DATA_FIELDS[[#This Row],[SHEET_REF_CALC]]&amp;"!A:B"),2,FALSE),"")</f>
        <v/>
      </c>
      <c r="I20" s="11"/>
      <c r="J20" s="6" t="b">
        <f ca="1">(DB_TBL_DATA_FIELDS[[#This Row],[FIELD_VALUE_RAW]]="")</f>
        <v>1</v>
      </c>
      <c r="K20" s="6" t="s">
        <v>11</v>
      </c>
      <c r="L20" s="8" t="b">
        <f ca="1">AND(IF(DB_TBL_DATA_FIELDS[[#This Row],[FIELD_VALID_CUSTOM_LOGIC]]="",TRUE,DB_TBL_DATA_FIELDS[[#This Row],[FIELD_VALID_CUSTOM_LOGIC]]),DB_TBL_DATA_FIELDS[[#This Row],[RANGE_VALIDATION_PASSED_FLAG]])</f>
        <v>1</v>
      </c>
      <c r="M20"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0" s="8">
        <f ca="1">IF(DB_TBL_DATA_FIELDS[[#This Row],[SHEET_REF_CALC]]="","",IF(DB_TBL_DATA_FIELDS[[#This Row],[FIELD_EMPTY_FLAG]],IF(NOT(DB_TBL_DATA_FIELDS[[#This Row],[FIELD_REQ_FLAG]]),-1,1),IF(NOT(DB_TBL_DATA_FIELDS[[#This Row],[FIELD_VALID_FLAG]]),0,2)))</f>
        <v>1</v>
      </c>
      <c r="O20" s="8" t="str">
        <f ca="1">IFERROR(VLOOKUP(DB_TBL_DATA_FIELDS[[#This Row],[FIELD_STATUS_CODE]],DB_TBL_CONFIG_FIELDSTATUSCODES[#All],3,FALSE),"")</f>
        <v>Required</v>
      </c>
      <c r="P20" s="8" t="str">
        <f ca="1">IFERROR(VLOOKUP(DB_TBL_DATA_FIELDS[[#This Row],[FIELD_STATUS_CODE]],DB_TBL_CONFIG_FIELDSTATUSCODES[#All],4,FALSE),"")</f>
        <v>i</v>
      </c>
      <c r="Q20" s="7" t="b">
        <v>1</v>
      </c>
      <c r="R20" s="8" t="b">
        <f>TRUE</f>
        <v>1</v>
      </c>
      <c r="S20" s="4" t="s">
        <v>11</v>
      </c>
      <c r="T20" s="8">
        <f ca="1">IF(DB_TBL_DATA_FIELDS[[#This Row],[RANGE_VALIDATION_FLAG]]="Text",LEN(DB_TBL_DATA_FIELDS[[#This Row],[FIELD_VALUE_RAW]]),IFERROR(VALUE(DB_TBL_DATA_FIELDS[[#This Row],[FIELD_VALUE_RAW]]),-1))</f>
        <v>0</v>
      </c>
      <c r="U20" s="8">
        <v>0</v>
      </c>
      <c r="V20" s="34">
        <v>150</v>
      </c>
      <c r="W20" s="8" t="b">
        <f ca="1">IF(NOT(DB_TBL_DATA_FIELDS[[#This Row],[RANGE_VALIDATION_ON_FLAG]]),TRUE,
AND(DB_TBL_DATA_FIELDS[[#This Row],[RANGE_VALUE_LEN]]&gt;=DB_TBL_DATA_FIELDS[[#This Row],[RANGE_VALIDATION_MIN]],DB_TBL_DATA_FIELDS[[#This Row],[RANGE_VALUE_LEN]]&lt;=DB_TBL_DATA_FIELDS[[#This Row],[RANGE_VALIDATION_MAX]]))</f>
        <v>1</v>
      </c>
      <c r="X20" s="16">
        <v>1</v>
      </c>
      <c r="Y20" s="16">
        <f ca="1">IF(DB_TBL_DATA_FIELDS[[#This Row],[PCT_CALC_SHOW_STATUS_CODE]]=1,
DB_TBL_DATA_FIELDS[[#This Row],[FIELD_STATUS_CODE]],
IF(AND(DB_TBL_DATA_FIELDS[[#This Row],[PCT_CALC_SHOW_STATUS_CODE]]=2,DB_TBL_DATA_FIELDS[[#This Row],[FIELD_STATUS_CODE]]=0),
DB_TBL_DATA_FIELDS[[#This Row],[FIELD_STATUS_CODE]],
"")
)</f>
        <v>1</v>
      </c>
      <c r="Z20" s="16"/>
      <c r="AA20" s="11" t="s">
        <v>2416</v>
      </c>
      <c r="AB20" s="11" t="s">
        <v>2407</v>
      </c>
      <c r="AC20" s="8"/>
    </row>
    <row r="21" spans="1:29" x14ac:dyDescent="0.2">
      <c r="A21" s="4" t="s">
        <v>65</v>
      </c>
      <c r="B21" s="4" t="s">
        <v>64</v>
      </c>
      <c r="C21" s="16" t="str">
        <f ca="1">IF($H$10&lt;&gt;"R",IF(DB_TBL_DATA_FIELDS[[#This Row],[SHEET_REF_OWNER]]&lt;&gt;"",DB_TBL_DATA_FIELDS[[#This Row],[SHEET_REF_OWNER]],""),IF(DB_TBL_DATA_FIELDS[[#This Row],[SHEET_REF_RENTAL]]&lt;&gt;"",DB_TBL_DATA_FIELDS[[#This Row],[SHEET_REF_RENTAL]],""))</f>
        <v>RentalApp</v>
      </c>
      <c r="D21" s="32" t="s">
        <v>2396</v>
      </c>
      <c r="E21" s="4" t="b">
        <v>0</v>
      </c>
      <c r="F21" s="26" t="b">
        <v>1</v>
      </c>
      <c r="G21" s="6" t="s">
        <v>2387</v>
      </c>
      <c r="H21" s="10" t="str">
        <f ca="1">IFERROR(VLOOKUP(DB_TBL_DATA_FIELDS[[#This Row],[FIELD_ID]],INDIRECT(DB_TBL_DATA_FIELDS[[#This Row],[SHEET_REF_CALC]]&amp;"!A:B"),2,FALSE),"")</f>
        <v/>
      </c>
      <c r="I21" s="22"/>
      <c r="J21" s="20" t="b">
        <f ca="1">(DB_TBL_DATA_FIELDS[[#This Row],[FIELD_VALUE_RAW]]="")</f>
        <v>1</v>
      </c>
      <c r="K21" s="20" t="s">
        <v>11</v>
      </c>
      <c r="L21" s="21" t="b">
        <f ca="1">AND(IF(DB_TBL_DATA_FIELDS[[#This Row],[FIELD_VALID_CUSTOM_LOGIC]]="",TRUE,DB_TBL_DATA_FIELDS[[#This Row],[FIELD_VALID_CUSTOM_LOGIC]]),DB_TBL_DATA_FIELDS[[#This Row],[RANGE_VALIDATION_PASSED_FLAG]])</f>
        <v>1</v>
      </c>
      <c r="M21" s="2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1" s="21">
        <f ca="1">IF(DB_TBL_DATA_FIELDS[[#This Row],[SHEET_REF_CALC]]="","",IF(DB_TBL_DATA_FIELDS[[#This Row],[FIELD_EMPTY_FLAG]],IF(NOT(DB_TBL_DATA_FIELDS[[#This Row],[FIELD_REQ_FLAG]]),-1,1),IF(NOT(DB_TBL_DATA_FIELDS[[#This Row],[FIELD_VALID_FLAG]]),0,2)))</f>
        <v>1</v>
      </c>
      <c r="O21" s="21" t="str">
        <f ca="1">IFERROR(VLOOKUP(DB_TBL_DATA_FIELDS[[#This Row],[FIELD_STATUS_CODE]],DB_TBL_CONFIG_FIELDSTATUSCODES[#All],3,FALSE),"")</f>
        <v>Required</v>
      </c>
      <c r="P21" s="21" t="str">
        <f ca="1">IFERROR(VLOOKUP(DB_TBL_DATA_FIELDS[[#This Row],[FIELD_STATUS_CODE]],DB_TBL_CONFIG_FIELDSTATUSCODES[#All],4,FALSE),"")</f>
        <v>i</v>
      </c>
      <c r="Q21" s="21" t="b">
        <f>TRUE</f>
        <v>1</v>
      </c>
      <c r="R21" s="21" t="b">
        <f>TRUE</f>
        <v>1</v>
      </c>
      <c r="S21" s="19" t="s">
        <v>11</v>
      </c>
      <c r="T21" s="21">
        <f ca="1">IF(DB_TBL_DATA_FIELDS[[#This Row],[RANGE_VALIDATION_FLAG]]="Text",LEN(DB_TBL_DATA_FIELDS[[#This Row],[FIELD_VALUE_RAW]]),IFERROR(VALUE(DB_TBL_DATA_FIELDS[[#This Row],[FIELD_VALUE_RAW]]),-1))</f>
        <v>0</v>
      </c>
      <c r="U21" s="21">
        <v>0</v>
      </c>
      <c r="V21" s="87">
        <v>150</v>
      </c>
      <c r="W21" s="21" t="b">
        <f ca="1">IF(NOT(DB_TBL_DATA_FIELDS[[#This Row],[RANGE_VALIDATION_ON_FLAG]]),TRUE,
AND(DB_TBL_DATA_FIELDS[[#This Row],[RANGE_VALUE_LEN]]&gt;=DB_TBL_DATA_FIELDS[[#This Row],[RANGE_VALIDATION_MIN]],DB_TBL_DATA_FIELDS[[#This Row],[RANGE_VALUE_LEN]]&lt;=DB_TBL_DATA_FIELDS[[#This Row],[RANGE_VALIDATION_MAX]]))</f>
        <v>1</v>
      </c>
      <c r="X21" s="16">
        <v>1</v>
      </c>
      <c r="Y21" s="16">
        <f ca="1">IF(DB_TBL_DATA_FIELDS[[#This Row],[PCT_CALC_SHOW_STATUS_CODE]]=1,
DB_TBL_DATA_FIELDS[[#This Row],[FIELD_STATUS_CODE]],
IF(AND(DB_TBL_DATA_FIELDS[[#This Row],[PCT_CALC_SHOW_STATUS_CODE]]=2,DB_TBL_DATA_FIELDS[[#This Row],[FIELD_STATUS_CODE]]=0),
DB_TBL_DATA_FIELDS[[#This Row],[FIELD_STATUS_CODE]],
"")
)</f>
        <v>1</v>
      </c>
      <c r="Z21" s="16"/>
      <c r="AA21" s="11" t="s">
        <v>2417</v>
      </c>
      <c r="AB21" s="11" t="s">
        <v>2407</v>
      </c>
      <c r="AC21" s="8"/>
    </row>
    <row r="22" spans="1:29" x14ac:dyDescent="0.2">
      <c r="A22" s="4" t="s">
        <v>65</v>
      </c>
      <c r="B22" s="4" t="s">
        <v>64</v>
      </c>
      <c r="C22" s="16" t="str">
        <f ca="1">IF($H$10&lt;&gt;"R",IF(DB_TBL_DATA_FIELDS[[#This Row],[SHEET_REF_OWNER]]&lt;&gt;"",DB_TBL_DATA_FIELDS[[#This Row],[SHEET_REF_OWNER]],""),IF(DB_TBL_DATA_FIELDS[[#This Row],[SHEET_REF_RENTAL]]&lt;&gt;"",DB_TBL_DATA_FIELDS[[#This Row],[SHEET_REF_RENTAL]],""))</f>
        <v>RentalApp</v>
      </c>
      <c r="D22" s="66" t="s">
        <v>2397</v>
      </c>
      <c r="E22" s="4" t="b">
        <v>0</v>
      </c>
      <c r="F22" s="35" t="b">
        <v>1</v>
      </c>
      <c r="G22" s="6" t="s">
        <v>2388</v>
      </c>
      <c r="H22" s="10" t="str">
        <f ca="1">IFERROR(VLOOKUP(DB_TBL_DATA_FIELDS[[#This Row],[FIELD_ID]],INDIRECT(DB_TBL_DATA_FIELDS[[#This Row],[SHEET_REF_CALC]]&amp;"!A:B"),2,FALSE),"")</f>
        <v/>
      </c>
      <c r="I22" s="22"/>
      <c r="J22" s="20" t="b">
        <f ca="1">(DB_TBL_DATA_FIELDS[[#This Row],[FIELD_VALUE_RAW]]="")</f>
        <v>1</v>
      </c>
      <c r="K22" s="20" t="s">
        <v>11</v>
      </c>
      <c r="L22" s="21" t="b">
        <f ca="1">AND(IF(DB_TBL_DATA_FIELDS[[#This Row],[FIELD_VALID_CUSTOM_LOGIC]]="",TRUE,DB_TBL_DATA_FIELDS[[#This Row],[FIELD_VALID_CUSTOM_LOGIC]]),DB_TBL_DATA_FIELDS[[#This Row],[RANGE_VALIDATION_PASSED_FLAG]])</f>
        <v>1</v>
      </c>
      <c r="M22" s="2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2" s="21">
        <f ca="1">IF(DB_TBL_DATA_FIELDS[[#This Row],[SHEET_REF_CALC]]="","",IF(DB_TBL_DATA_FIELDS[[#This Row],[FIELD_EMPTY_FLAG]],IF(NOT(DB_TBL_DATA_FIELDS[[#This Row],[FIELD_REQ_FLAG]]),-1,1),IF(NOT(DB_TBL_DATA_FIELDS[[#This Row],[FIELD_VALID_FLAG]]),0,2)))</f>
        <v>1</v>
      </c>
      <c r="O22" s="21" t="str">
        <f ca="1">IFERROR(VLOOKUP(DB_TBL_DATA_FIELDS[[#This Row],[FIELD_STATUS_CODE]],DB_TBL_CONFIG_FIELDSTATUSCODES[#All],3,FALSE),"")</f>
        <v>Required</v>
      </c>
      <c r="P22" s="21" t="str">
        <f ca="1">IFERROR(VLOOKUP(DB_TBL_DATA_FIELDS[[#This Row],[FIELD_STATUS_CODE]],DB_TBL_CONFIG_FIELDSTATUSCODES[#All],4,FALSE),"")</f>
        <v>i</v>
      </c>
      <c r="Q22" s="21" t="b">
        <f>TRUE</f>
        <v>1</v>
      </c>
      <c r="R22" s="21" t="b">
        <f>TRUE</f>
        <v>1</v>
      </c>
      <c r="S22" s="19" t="s">
        <v>11</v>
      </c>
      <c r="T22" s="21">
        <f ca="1">IF(DB_TBL_DATA_FIELDS[[#This Row],[RANGE_VALIDATION_FLAG]]="Text",LEN(DB_TBL_DATA_FIELDS[[#This Row],[FIELD_VALUE_RAW]]),IFERROR(VALUE(DB_TBL_DATA_FIELDS[[#This Row],[FIELD_VALUE_RAW]]),-1))</f>
        <v>0</v>
      </c>
      <c r="U22" s="21">
        <v>0</v>
      </c>
      <c r="V22" s="87">
        <v>150</v>
      </c>
      <c r="W22" s="21" t="b">
        <f ca="1">IF(NOT(DB_TBL_DATA_FIELDS[[#This Row],[RANGE_VALIDATION_ON_FLAG]]),TRUE,
AND(DB_TBL_DATA_FIELDS[[#This Row],[RANGE_VALUE_LEN]]&gt;=DB_TBL_DATA_FIELDS[[#This Row],[RANGE_VALIDATION_MIN]],DB_TBL_DATA_FIELDS[[#This Row],[RANGE_VALUE_LEN]]&lt;=DB_TBL_DATA_FIELDS[[#This Row],[RANGE_VALIDATION_MAX]]))</f>
        <v>1</v>
      </c>
      <c r="X22" s="16">
        <v>1</v>
      </c>
      <c r="Y22" s="16">
        <f ca="1">IF(DB_TBL_DATA_FIELDS[[#This Row],[PCT_CALC_SHOW_STATUS_CODE]]=1,
DB_TBL_DATA_FIELDS[[#This Row],[FIELD_STATUS_CODE]],
IF(AND(DB_TBL_DATA_FIELDS[[#This Row],[PCT_CALC_SHOW_STATUS_CODE]]=2,DB_TBL_DATA_FIELDS[[#This Row],[FIELD_STATUS_CODE]]=0),
DB_TBL_DATA_FIELDS[[#This Row],[FIELD_STATUS_CODE]],
"")
)</f>
        <v>1</v>
      </c>
      <c r="Z22" s="16"/>
      <c r="AA22" s="11" t="s">
        <v>2418</v>
      </c>
      <c r="AB22" s="11" t="s">
        <v>2407</v>
      </c>
      <c r="AC22" s="8"/>
    </row>
    <row r="23" spans="1:29" x14ac:dyDescent="0.2">
      <c r="A23" s="4" t="s">
        <v>65</v>
      </c>
      <c r="B23" s="4" t="s">
        <v>64</v>
      </c>
      <c r="C23" s="16" t="str">
        <f ca="1">IF($H$10&lt;&gt;"R",IF(DB_TBL_DATA_FIELDS[[#This Row],[SHEET_REF_OWNER]]&lt;&gt;"",DB_TBL_DATA_FIELDS[[#This Row],[SHEET_REF_OWNER]],""),IF(DB_TBL_DATA_FIELDS[[#This Row],[SHEET_REF_RENTAL]]&lt;&gt;"",DB_TBL_DATA_FIELDS[[#This Row],[SHEET_REF_RENTAL]],""))</f>
        <v>RentalApp</v>
      </c>
      <c r="D23" s="66" t="s">
        <v>2398</v>
      </c>
      <c r="E23" s="4" t="b">
        <v>0</v>
      </c>
      <c r="F23" s="26" t="b">
        <v>1</v>
      </c>
      <c r="G23" s="6" t="s">
        <v>2389</v>
      </c>
      <c r="H23" s="10" t="str">
        <f ca="1">IFERROR(VLOOKUP(DB_TBL_DATA_FIELDS[[#This Row],[FIELD_ID]],INDIRECT(DB_TBL_DATA_FIELDS[[#This Row],[SHEET_REF_CALC]]&amp;"!A:B"),2,FALSE),"")</f>
        <v/>
      </c>
      <c r="I23" s="22"/>
      <c r="J23" s="20" t="b">
        <f ca="1">(DB_TBL_DATA_FIELDS[[#This Row],[FIELD_VALUE_RAW]]="")</f>
        <v>1</v>
      </c>
      <c r="K23" s="20" t="s">
        <v>11</v>
      </c>
      <c r="L23" s="21" t="b">
        <f ca="1">AND(IF(DB_TBL_DATA_FIELDS[[#This Row],[FIELD_VALID_CUSTOM_LOGIC]]="",TRUE,DB_TBL_DATA_FIELDS[[#This Row],[FIELD_VALID_CUSTOM_LOGIC]]),DB_TBL_DATA_FIELDS[[#This Row],[RANGE_VALIDATION_PASSED_FLAG]])</f>
        <v>1</v>
      </c>
      <c r="M23" s="2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3" s="21">
        <f ca="1">IF(DB_TBL_DATA_FIELDS[[#This Row],[SHEET_REF_CALC]]="","",IF(DB_TBL_DATA_FIELDS[[#This Row],[FIELD_EMPTY_FLAG]],IF(NOT(DB_TBL_DATA_FIELDS[[#This Row],[FIELD_REQ_FLAG]]),-1,1),IF(NOT(DB_TBL_DATA_FIELDS[[#This Row],[FIELD_VALID_FLAG]]),0,2)))</f>
        <v>1</v>
      </c>
      <c r="O23" s="21" t="str">
        <f ca="1">IFERROR(VLOOKUP(DB_TBL_DATA_FIELDS[[#This Row],[FIELD_STATUS_CODE]],DB_TBL_CONFIG_FIELDSTATUSCODES[#All],3,FALSE),"")</f>
        <v>Required</v>
      </c>
      <c r="P23" s="21" t="str">
        <f ca="1">IFERROR(VLOOKUP(DB_TBL_DATA_FIELDS[[#This Row],[FIELD_STATUS_CODE]],DB_TBL_CONFIG_FIELDSTATUSCODES[#All],4,FALSE),"")</f>
        <v>i</v>
      </c>
      <c r="Q23" s="21" t="b">
        <f>TRUE</f>
        <v>1</v>
      </c>
      <c r="R23" s="21" t="b">
        <f>TRUE</f>
        <v>1</v>
      </c>
      <c r="S23" s="19" t="s">
        <v>11</v>
      </c>
      <c r="T23" s="21">
        <f ca="1">IF(DB_TBL_DATA_FIELDS[[#This Row],[RANGE_VALIDATION_FLAG]]="Text",LEN(DB_TBL_DATA_FIELDS[[#This Row],[FIELD_VALUE_RAW]]),IFERROR(VALUE(DB_TBL_DATA_FIELDS[[#This Row],[FIELD_VALUE_RAW]]),-1))</f>
        <v>0</v>
      </c>
      <c r="U23" s="21">
        <v>0</v>
      </c>
      <c r="V23" s="87">
        <v>60</v>
      </c>
      <c r="W23" s="21" t="b">
        <f ca="1">IF(NOT(DB_TBL_DATA_FIELDS[[#This Row],[RANGE_VALIDATION_ON_FLAG]]),TRUE,
AND(DB_TBL_DATA_FIELDS[[#This Row],[RANGE_VALUE_LEN]]&gt;=DB_TBL_DATA_FIELDS[[#This Row],[RANGE_VALIDATION_MIN]],DB_TBL_DATA_FIELDS[[#This Row],[RANGE_VALUE_LEN]]&lt;=DB_TBL_DATA_FIELDS[[#This Row],[RANGE_VALIDATION_MAX]]))</f>
        <v>1</v>
      </c>
      <c r="X23" s="16">
        <v>1</v>
      </c>
      <c r="Y23" s="16">
        <f ca="1">IF(DB_TBL_DATA_FIELDS[[#This Row],[PCT_CALC_SHOW_STATUS_CODE]]=1,
DB_TBL_DATA_FIELDS[[#This Row],[FIELD_STATUS_CODE]],
IF(AND(DB_TBL_DATA_FIELDS[[#This Row],[PCT_CALC_SHOW_STATUS_CODE]]=2,DB_TBL_DATA_FIELDS[[#This Row],[FIELD_STATUS_CODE]]=0),
DB_TBL_DATA_FIELDS[[#This Row],[FIELD_STATUS_CODE]],
"")
)</f>
        <v>1</v>
      </c>
      <c r="Z23" s="16"/>
      <c r="AA23" s="11" t="s">
        <v>2419</v>
      </c>
      <c r="AB23" s="11" t="s">
        <v>2407</v>
      </c>
      <c r="AC23" s="8"/>
    </row>
    <row r="24" spans="1:29" x14ac:dyDescent="0.2">
      <c r="A24" s="4" t="s">
        <v>65</v>
      </c>
      <c r="B24" s="4" t="s">
        <v>64</v>
      </c>
      <c r="C24" s="16" t="str">
        <f ca="1">IF($H$10&lt;&gt;"R",IF(DB_TBL_DATA_FIELDS[[#This Row],[SHEET_REF_OWNER]]&lt;&gt;"",DB_TBL_DATA_FIELDS[[#This Row],[SHEET_REF_OWNER]],""),IF(DB_TBL_DATA_FIELDS[[#This Row],[SHEET_REF_RENTAL]]&lt;&gt;"",DB_TBL_DATA_FIELDS[[#This Row],[SHEET_REF_RENTAL]],""))</f>
        <v>RentalApp</v>
      </c>
      <c r="D24" s="66" t="s">
        <v>2399</v>
      </c>
      <c r="E24" s="4" t="b">
        <v>0</v>
      </c>
      <c r="F24" s="26" t="b">
        <v>1</v>
      </c>
      <c r="G24" s="6" t="s">
        <v>2390</v>
      </c>
      <c r="H24" s="10" t="str">
        <f ca="1">IFERROR(VLOOKUP(DB_TBL_DATA_FIELDS[[#This Row],[FIELD_ID]],INDIRECT(DB_TBL_DATA_FIELDS[[#This Row],[SHEET_REF_CALC]]&amp;"!A:B"),2,FALSE),"")</f>
        <v/>
      </c>
      <c r="I24" s="22"/>
      <c r="J24" s="20" t="b">
        <f ca="1">(DB_TBL_DATA_FIELDS[[#This Row],[FIELD_VALUE_RAW]]="")</f>
        <v>1</v>
      </c>
      <c r="K24" s="20" t="s">
        <v>11</v>
      </c>
      <c r="L24" s="21" t="b">
        <f ca="1">AND(IF(DB_TBL_DATA_FIELDS[[#This Row],[FIELD_VALID_CUSTOM_LOGIC]]="",TRUE,DB_TBL_DATA_FIELDS[[#This Row],[FIELD_VALID_CUSTOM_LOGIC]]),DB_TBL_DATA_FIELDS[[#This Row],[RANGE_VALIDATION_PASSED_FLAG]])</f>
        <v>1</v>
      </c>
      <c r="M24" s="2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4" s="21">
        <f ca="1">IF(DB_TBL_DATA_FIELDS[[#This Row],[SHEET_REF_CALC]]="","",IF(DB_TBL_DATA_FIELDS[[#This Row],[FIELD_EMPTY_FLAG]],IF(NOT(DB_TBL_DATA_FIELDS[[#This Row],[FIELD_REQ_FLAG]]),-1,1),IF(NOT(DB_TBL_DATA_FIELDS[[#This Row],[FIELD_VALID_FLAG]]),0,2)))</f>
        <v>1</v>
      </c>
      <c r="O24" s="21" t="str">
        <f ca="1">IFERROR(VLOOKUP(DB_TBL_DATA_FIELDS[[#This Row],[FIELD_STATUS_CODE]],DB_TBL_CONFIG_FIELDSTATUSCODES[#All],3,FALSE),"")</f>
        <v>Required</v>
      </c>
      <c r="P24" s="21" t="str">
        <f ca="1">IFERROR(VLOOKUP(DB_TBL_DATA_FIELDS[[#This Row],[FIELD_STATUS_CODE]],DB_TBL_CONFIG_FIELDSTATUSCODES[#All],4,FALSE),"")</f>
        <v>i</v>
      </c>
      <c r="Q24" s="21" t="b">
        <f>TRUE</f>
        <v>1</v>
      </c>
      <c r="R24" s="21" t="b">
        <f>TRUE</f>
        <v>1</v>
      </c>
      <c r="S24" s="19" t="s">
        <v>11</v>
      </c>
      <c r="T24" s="21">
        <f ca="1">IF(DB_TBL_DATA_FIELDS[[#This Row],[RANGE_VALIDATION_FLAG]]="Text",LEN(DB_TBL_DATA_FIELDS[[#This Row],[FIELD_VALUE_RAW]]),IFERROR(VALUE(DB_TBL_DATA_FIELDS[[#This Row],[FIELD_VALUE_RAW]]),-1))</f>
        <v>0</v>
      </c>
      <c r="U24" s="21">
        <v>0</v>
      </c>
      <c r="V24" s="87">
        <v>30</v>
      </c>
      <c r="W24" s="21" t="b">
        <f ca="1">IF(NOT(DB_TBL_DATA_FIELDS[[#This Row],[RANGE_VALIDATION_ON_FLAG]]),TRUE,
AND(DB_TBL_DATA_FIELDS[[#This Row],[RANGE_VALUE_LEN]]&gt;=DB_TBL_DATA_FIELDS[[#This Row],[RANGE_VALIDATION_MIN]],DB_TBL_DATA_FIELDS[[#This Row],[RANGE_VALUE_LEN]]&lt;=DB_TBL_DATA_FIELDS[[#This Row],[RANGE_VALIDATION_MAX]]))</f>
        <v>1</v>
      </c>
      <c r="X24" s="16">
        <v>1</v>
      </c>
      <c r="Y24" s="16">
        <f ca="1">IF(DB_TBL_DATA_FIELDS[[#This Row],[PCT_CALC_SHOW_STATUS_CODE]]=1,
DB_TBL_DATA_FIELDS[[#This Row],[FIELD_STATUS_CODE]],
IF(AND(DB_TBL_DATA_FIELDS[[#This Row],[PCT_CALC_SHOW_STATUS_CODE]]=2,DB_TBL_DATA_FIELDS[[#This Row],[FIELD_STATUS_CODE]]=0),
DB_TBL_DATA_FIELDS[[#This Row],[FIELD_STATUS_CODE]],
"")
)</f>
        <v>1</v>
      </c>
      <c r="Z24" s="16"/>
      <c r="AA24" s="11" t="s">
        <v>2420</v>
      </c>
      <c r="AB24" s="11" t="s">
        <v>2407</v>
      </c>
      <c r="AC24" s="8"/>
    </row>
    <row r="25" spans="1:29" x14ac:dyDescent="0.2">
      <c r="A25" s="4" t="s">
        <v>65</v>
      </c>
      <c r="B25" s="4" t="s">
        <v>64</v>
      </c>
      <c r="C25" s="16" t="str">
        <f ca="1">IF($H$10&lt;&gt;"R",IF(DB_TBL_DATA_FIELDS[[#This Row],[SHEET_REF_OWNER]]&lt;&gt;"",DB_TBL_DATA_FIELDS[[#This Row],[SHEET_REF_OWNER]],""),IF(DB_TBL_DATA_FIELDS[[#This Row],[SHEET_REF_RENTAL]]&lt;&gt;"",DB_TBL_DATA_FIELDS[[#This Row],[SHEET_REF_RENTAL]],""))</f>
        <v>RentalApp</v>
      </c>
      <c r="D25" s="66" t="s">
        <v>2400</v>
      </c>
      <c r="E25" s="4" t="b">
        <v>0</v>
      </c>
      <c r="F25" s="26" t="b">
        <v>1</v>
      </c>
      <c r="G25" s="6" t="s">
        <v>2391</v>
      </c>
      <c r="H25" s="10" t="str">
        <f ca="1">IFERROR(VLOOKUP(DB_TBL_DATA_FIELDS[[#This Row],[FIELD_ID]],INDIRECT(DB_TBL_DATA_FIELDS[[#This Row],[SHEET_REF_CALC]]&amp;"!A:B"),2,FALSE),"")</f>
        <v/>
      </c>
      <c r="I25" s="22"/>
      <c r="J25" s="20" t="b">
        <f ca="1">(DB_TBL_DATA_FIELDS[[#This Row],[FIELD_VALUE_RAW]]="")</f>
        <v>1</v>
      </c>
      <c r="K25" s="20" t="s">
        <v>11</v>
      </c>
      <c r="L25" s="21" t="b">
        <f ca="1">AND(IF(DB_TBL_DATA_FIELDS[[#This Row],[FIELD_VALID_CUSTOM_LOGIC]]="",TRUE,DB_TBL_DATA_FIELDS[[#This Row],[FIELD_VALID_CUSTOM_LOGIC]]),DB_TBL_DATA_FIELDS[[#This Row],[RANGE_VALIDATION_PASSED_FLAG]])</f>
        <v>0</v>
      </c>
      <c r="M25" s="2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5" s="21">
        <f ca="1">IF(DB_TBL_DATA_FIELDS[[#This Row],[SHEET_REF_CALC]]="","",IF(DB_TBL_DATA_FIELDS[[#This Row],[FIELD_EMPTY_FLAG]],IF(NOT(DB_TBL_DATA_FIELDS[[#This Row],[FIELD_REQ_FLAG]]),-1,1),IF(NOT(DB_TBL_DATA_FIELDS[[#This Row],[FIELD_VALID_FLAG]]),0,2)))</f>
        <v>1</v>
      </c>
      <c r="O25" s="21" t="str">
        <f ca="1">IFERROR(VLOOKUP(DB_TBL_DATA_FIELDS[[#This Row],[FIELD_STATUS_CODE]],DB_TBL_CONFIG_FIELDSTATUSCODES[#All],3,FALSE),"")</f>
        <v>Required</v>
      </c>
      <c r="P25" s="21" t="str">
        <f ca="1">IFERROR(VLOOKUP(DB_TBL_DATA_FIELDS[[#This Row],[FIELD_STATUS_CODE]],DB_TBL_CONFIG_FIELDSTATUSCODES[#All],4,FALSE),"")</f>
        <v>i</v>
      </c>
      <c r="Q25" s="21" t="b">
        <f>TRUE</f>
        <v>1</v>
      </c>
      <c r="R25" s="21" t="b">
        <f>TRUE</f>
        <v>1</v>
      </c>
      <c r="S25" s="19" t="s">
        <v>11</v>
      </c>
      <c r="T25" s="21">
        <f ca="1">IF(DB_TBL_DATA_FIELDS[[#This Row],[RANGE_VALIDATION_FLAG]]="Text",LEN(DB_TBL_DATA_FIELDS[[#This Row],[FIELD_VALUE_RAW]]),IFERROR(VALUE(DB_TBL_DATA_FIELDS[[#This Row],[FIELD_VALUE_RAW]]),-1))</f>
        <v>0</v>
      </c>
      <c r="U25" s="21">
        <v>2</v>
      </c>
      <c r="V25" s="87">
        <v>2</v>
      </c>
      <c r="W25" s="21" t="b">
        <f ca="1">IF(NOT(DB_TBL_DATA_FIELDS[[#This Row],[RANGE_VALIDATION_ON_FLAG]]),TRUE,
AND(DB_TBL_DATA_FIELDS[[#This Row],[RANGE_VALUE_LEN]]&gt;=DB_TBL_DATA_FIELDS[[#This Row],[RANGE_VALIDATION_MIN]],DB_TBL_DATA_FIELDS[[#This Row],[RANGE_VALUE_LEN]]&lt;=DB_TBL_DATA_FIELDS[[#This Row],[RANGE_VALIDATION_MAX]]))</f>
        <v>0</v>
      </c>
      <c r="X25" s="16">
        <v>1</v>
      </c>
      <c r="Y25" s="16">
        <f ca="1">IF(DB_TBL_DATA_FIELDS[[#This Row],[PCT_CALC_SHOW_STATUS_CODE]]=1,
DB_TBL_DATA_FIELDS[[#This Row],[FIELD_STATUS_CODE]],
IF(AND(DB_TBL_DATA_FIELDS[[#This Row],[PCT_CALC_SHOW_STATUS_CODE]]=2,DB_TBL_DATA_FIELDS[[#This Row],[FIELD_STATUS_CODE]]=0),
DB_TBL_DATA_FIELDS[[#This Row],[FIELD_STATUS_CODE]],
"")
)</f>
        <v>1</v>
      </c>
      <c r="Z25" s="16"/>
      <c r="AA25" s="11" t="s">
        <v>2421</v>
      </c>
      <c r="AB25" s="11" t="s">
        <v>2407</v>
      </c>
      <c r="AC25" s="8"/>
    </row>
    <row r="26" spans="1:29" x14ac:dyDescent="0.2">
      <c r="A26" s="4" t="s">
        <v>65</v>
      </c>
      <c r="B26" s="4" t="s">
        <v>64</v>
      </c>
      <c r="C26" s="16" t="str">
        <f ca="1">IF($H$10&lt;&gt;"R",IF(DB_TBL_DATA_FIELDS[[#This Row],[SHEET_REF_OWNER]]&lt;&gt;"",DB_TBL_DATA_FIELDS[[#This Row],[SHEET_REF_OWNER]],""),IF(DB_TBL_DATA_FIELDS[[#This Row],[SHEET_REF_RENTAL]]&lt;&gt;"",DB_TBL_DATA_FIELDS[[#This Row],[SHEET_REF_RENTAL]],""))</f>
        <v>RentalApp</v>
      </c>
      <c r="D26" s="66" t="s">
        <v>2401</v>
      </c>
      <c r="E26" s="4" t="b">
        <v>0</v>
      </c>
      <c r="F26" s="26" t="b">
        <v>1</v>
      </c>
      <c r="G26" s="6" t="s">
        <v>2392</v>
      </c>
      <c r="H26" s="10" t="str">
        <f ca="1">IFERROR(VLOOKUP(DB_TBL_DATA_FIELDS[[#This Row],[FIELD_ID]],INDIRECT(DB_TBL_DATA_FIELDS[[#This Row],[SHEET_REF_CALC]]&amp;"!A:B"),2,FALSE),"")</f>
        <v/>
      </c>
      <c r="I26" s="44" t="b">
        <f ca="1">NOT(LEFT(DB_TBL_DATA_FIELDS[[#This Row],[FIELD_VALUE_RAW]],1)="-")</f>
        <v>1</v>
      </c>
      <c r="J26" s="20" t="b">
        <f ca="1">(DB_TBL_DATA_FIELDS[[#This Row],[FIELD_VALUE_RAW]]="")</f>
        <v>1</v>
      </c>
      <c r="K26" s="20" t="s">
        <v>11</v>
      </c>
      <c r="L26" s="21" t="b">
        <f ca="1">AND(IF(DB_TBL_DATA_FIELDS[[#This Row],[FIELD_VALID_CUSTOM_LOGIC]]="",TRUE,DB_TBL_DATA_FIELDS[[#This Row],[FIELD_VALID_CUSTOM_LOGIC]]),DB_TBL_DATA_FIELDS[[#This Row],[RANGE_VALIDATION_PASSED_FLAG]])</f>
        <v>0</v>
      </c>
      <c r="M26" s="2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6" s="21">
        <f ca="1">IF(DB_TBL_DATA_FIELDS[[#This Row],[SHEET_REF_CALC]]="","",IF(DB_TBL_DATA_FIELDS[[#This Row],[FIELD_EMPTY_FLAG]],IF(NOT(DB_TBL_DATA_FIELDS[[#This Row],[FIELD_REQ_FLAG]]),-1,1),IF(NOT(DB_TBL_DATA_FIELDS[[#This Row],[FIELD_VALID_FLAG]]),0,2)))</f>
        <v>1</v>
      </c>
      <c r="O26" s="21" t="str">
        <f ca="1">IFERROR(VLOOKUP(DB_TBL_DATA_FIELDS[[#This Row],[FIELD_STATUS_CODE]],DB_TBL_CONFIG_FIELDSTATUSCODES[#All],3,FALSE),"")</f>
        <v>Required</v>
      </c>
      <c r="P26" s="21" t="str">
        <f ca="1">IFERROR(VLOOKUP(DB_TBL_DATA_FIELDS[[#This Row],[FIELD_STATUS_CODE]],DB_TBL_CONFIG_FIELDSTATUSCODES[#All],4,FALSE),"")</f>
        <v>i</v>
      </c>
      <c r="Q26" s="21" t="b">
        <f>TRUE</f>
        <v>1</v>
      </c>
      <c r="R26" s="21" t="b">
        <f>TRUE</f>
        <v>1</v>
      </c>
      <c r="S26" s="19" t="s">
        <v>11</v>
      </c>
      <c r="T26" s="21">
        <f ca="1">IF(DB_TBL_DATA_FIELDS[[#This Row],[RANGE_VALIDATION_FLAG]]="Text",LEN(DB_TBL_DATA_FIELDS[[#This Row],[FIELD_VALUE_RAW]]),IFERROR(VALUE(DB_TBL_DATA_FIELDS[[#This Row],[FIELD_VALUE_RAW]]),-1))</f>
        <v>0</v>
      </c>
      <c r="U26" s="21">
        <v>5</v>
      </c>
      <c r="V26" s="87">
        <v>10</v>
      </c>
      <c r="W26" s="21" t="b">
        <f ca="1">IF(NOT(DB_TBL_DATA_FIELDS[[#This Row],[RANGE_VALIDATION_ON_FLAG]]),TRUE,
AND(DB_TBL_DATA_FIELDS[[#This Row],[RANGE_VALUE_LEN]]&gt;=DB_TBL_DATA_FIELDS[[#This Row],[RANGE_VALIDATION_MIN]],DB_TBL_DATA_FIELDS[[#This Row],[RANGE_VALUE_LEN]]&lt;=DB_TBL_DATA_FIELDS[[#This Row],[RANGE_VALIDATION_MAX]]))</f>
        <v>0</v>
      </c>
      <c r="X26" s="16">
        <v>1</v>
      </c>
      <c r="Y26" s="16">
        <f ca="1">IF(DB_TBL_DATA_FIELDS[[#This Row],[PCT_CALC_SHOW_STATUS_CODE]]=1,
DB_TBL_DATA_FIELDS[[#This Row],[FIELD_STATUS_CODE]],
IF(AND(DB_TBL_DATA_FIELDS[[#This Row],[PCT_CALC_SHOW_STATUS_CODE]]=2,DB_TBL_DATA_FIELDS[[#This Row],[FIELD_STATUS_CODE]]=0),
DB_TBL_DATA_FIELDS[[#This Row],[FIELD_STATUS_CODE]],
"")
)</f>
        <v>1</v>
      </c>
      <c r="Z26" s="16"/>
      <c r="AA26" s="11" t="s">
        <v>2422</v>
      </c>
      <c r="AB26" s="11" t="s">
        <v>2407</v>
      </c>
      <c r="AC26" s="8"/>
    </row>
    <row r="27" spans="1:29" x14ac:dyDescent="0.2">
      <c r="A27" s="4" t="s">
        <v>65</v>
      </c>
      <c r="B27" s="4" t="s">
        <v>64</v>
      </c>
      <c r="C27" s="16" t="str">
        <f ca="1">IF($H$10&lt;&gt;"R",IF(DB_TBL_DATA_FIELDS[[#This Row],[SHEET_REF_OWNER]]&lt;&gt;"",DB_TBL_DATA_FIELDS[[#This Row],[SHEET_REF_OWNER]],""),IF(DB_TBL_DATA_FIELDS[[#This Row],[SHEET_REF_RENTAL]]&lt;&gt;"",DB_TBL_DATA_FIELDS[[#This Row],[SHEET_REF_RENTAL]],""))</f>
        <v>RentalApp</v>
      </c>
      <c r="D27" s="32" t="s">
        <v>2402</v>
      </c>
      <c r="E27" s="4" t="b">
        <v>0</v>
      </c>
      <c r="F27" s="26" t="b">
        <v>1</v>
      </c>
      <c r="G27" s="6" t="s">
        <v>2393</v>
      </c>
      <c r="H27" s="10" t="str">
        <f ca="1">IFERROR(VLOOKUP(DB_TBL_DATA_FIELDS[[#This Row],[FIELD_ID]],INDIRECT(DB_TBL_DATA_FIELDS[[#This Row],[SHEET_REF_CALC]]&amp;"!A:B"),2,FALSE),"")</f>
        <v/>
      </c>
      <c r="I27" s="43" t="b">
        <f ca="1">AND(
IFERROR(SEARCH(".",DB_TBL_DATA_FIELDS[[#This Row],[FIELD_VALUE_RAW]],(SEARCH("@",DB_TBL_DATA_FIELDS[[#This Row],[FIELD_VALUE_RAW]],1))+2),0)&gt;0,
NOT(IFERROR(SEARCH(".",RIGHT(DB_TBL_DATA_FIELDS[[#This Row],[FIELD_VALUE_RAW]],2)),0)&gt;0)
)</f>
        <v>0</v>
      </c>
      <c r="J27" s="20" t="b">
        <f ca="1">(DB_TBL_DATA_FIELDS[[#This Row],[FIELD_VALUE_RAW]]="")</f>
        <v>1</v>
      </c>
      <c r="K27" s="20" t="s">
        <v>11</v>
      </c>
      <c r="L27" s="21" t="b">
        <f ca="1">AND(IF(DB_TBL_DATA_FIELDS[[#This Row],[FIELD_VALID_CUSTOM_LOGIC]]="",TRUE,DB_TBL_DATA_FIELDS[[#This Row],[FIELD_VALID_CUSTOM_LOGIC]]),DB_TBL_DATA_FIELDS[[#This Row],[RANGE_VALIDATION_PASSED_FLAG]])</f>
        <v>0</v>
      </c>
      <c r="M27" s="2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7" s="21">
        <f ca="1">IF(DB_TBL_DATA_FIELDS[[#This Row],[SHEET_REF_CALC]]="","",IF(DB_TBL_DATA_FIELDS[[#This Row],[FIELD_EMPTY_FLAG]],IF(NOT(DB_TBL_DATA_FIELDS[[#This Row],[FIELD_REQ_FLAG]]),-1,1),IF(NOT(DB_TBL_DATA_FIELDS[[#This Row],[FIELD_VALID_FLAG]]),0,2)))</f>
        <v>1</v>
      </c>
      <c r="O27" s="21" t="str">
        <f ca="1">IFERROR(VLOOKUP(DB_TBL_DATA_FIELDS[[#This Row],[FIELD_STATUS_CODE]],DB_TBL_CONFIG_FIELDSTATUSCODES[#All],3,FALSE),"")</f>
        <v>Required</v>
      </c>
      <c r="P27" s="21" t="str">
        <f ca="1">IFERROR(VLOOKUP(DB_TBL_DATA_FIELDS[[#This Row],[FIELD_STATUS_CODE]],DB_TBL_CONFIG_FIELDSTATUSCODES[#All],4,FALSE),"")</f>
        <v>i</v>
      </c>
      <c r="Q27" s="21" t="b">
        <f>TRUE</f>
        <v>1</v>
      </c>
      <c r="R27" s="21" t="b">
        <f>TRUE</f>
        <v>1</v>
      </c>
      <c r="S27" s="19" t="s">
        <v>11</v>
      </c>
      <c r="T27" s="21">
        <f ca="1">IF(DB_TBL_DATA_FIELDS[[#This Row],[RANGE_VALIDATION_FLAG]]="Text",LEN(DB_TBL_DATA_FIELDS[[#This Row],[FIELD_VALUE_RAW]]),IFERROR(VALUE(DB_TBL_DATA_FIELDS[[#This Row],[FIELD_VALUE_RAW]]),-1))</f>
        <v>0</v>
      </c>
      <c r="U27" s="21">
        <v>0</v>
      </c>
      <c r="V27" s="87">
        <v>150</v>
      </c>
      <c r="W27" s="21" t="b">
        <f ca="1">IF(NOT(DB_TBL_DATA_FIELDS[[#This Row],[RANGE_VALIDATION_ON_FLAG]]),TRUE,
AND(DB_TBL_DATA_FIELDS[[#This Row],[RANGE_VALUE_LEN]]&gt;=DB_TBL_DATA_FIELDS[[#This Row],[RANGE_VALIDATION_MIN]],DB_TBL_DATA_FIELDS[[#This Row],[RANGE_VALUE_LEN]]&lt;=DB_TBL_DATA_FIELDS[[#This Row],[RANGE_VALIDATION_MAX]]))</f>
        <v>1</v>
      </c>
      <c r="X27" s="16">
        <v>1</v>
      </c>
      <c r="Y27" s="16">
        <f ca="1">IF(DB_TBL_DATA_FIELDS[[#This Row],[PCT_CALC_SHOW_STATUS_CODE]]=1,
DB_TBL_DATA_FIELDS[[#This Row],[FIELD_STATUS_CODE]],
IF(AND(DB_TBL_DATA_FIELDS[[#This Row],[PCT_CALC_SHOW_STATUS_CODE]]=2,DB_TBL_DATA_FIELDS[[#This Row],[FIELD_STATUS_CODE]]=0),
DB_TBL_DATA_FIELDS[[#This Row],[FIELD_STATUS_CODE]],
"")
)</f>
        <v>1</v>
      </c>
      <c r="Z27" s="103" t="str">
        <f ca="1">IF(DB_TBL_DATA_FIELDS[[#This Row],[FIELD_STATUS_CODE]]=0,IF(NOT(DB_TBL_DATA_FIELDS[[#This Row],[FIELD_VALID_CUSTOM_LOGIC]]),
IF(IFERROR(SEARCH(".",RIGHT(DB_TBL_DATA_FIELDS[[#This Row],[FIELD_VALUE_RAW]],2)),0)&gt;0,"Invalid Domain Extension",
 IF(IFERROR(SEARCH("@",DB_TBL_DATA_FIELDS[[#This Row],[FIELD_VALUE_RAW]]),0)=0,"Missing '@' In Address",
  IF(IFERROR(SEARCH(".",DB_TBL_DATA_FIELDS[[#This Row],[FIELD_VALUE_RAW]],(SEARCH("@",DB_TBL_DATA_FIELDS[[#This Row],[FIELD_VALUE_RAW]],1))+2),0)=0,"Invalid Domain Name","Invalid Email Address")))),"")</f>
        <v/>
      </c>
      <c r="AA27" s="11" t="s">
        <v>2423</v>
      </c>
      <c r="AB27" s="11" t="s">
        <v>2407</v>
      </c>
      <c r="AC27" s="8"/>
    </row>
    <row r="28" spans="1:29" ht="13.5" thickBot="1" x14ac:dyDescent="0.25">
      <c r="A28" s="67" t="s">
        <v>65</v>
      </c>
      <c r="B28" s="67" t="s">
        <v>64</v>
      </c>
      <c r="C28" s="69" t="str">
        <f ca="1">IF($H$10&lt;&gt;"R",IF(DB_TBL_DATA_FIELDS[[#This Row],[SHEET_REF_OWNER]]&lt;&gt;"",DB_TBL_DATA_FIELDS[[#This Row],[SHEET_REF_OWNER]],""),IF(DB_TBL_DATA_FIELDS[[#This Row],[SHEET_REF_RENTAL]]&lt;&gt;"",DB_TBL_DATA_FIELDS[[#This Row],[SHEET_REF_RENTAL]],""))</f>
        <v>RentalApp</v>
      </c>
      <c r="D28" s="65" t="s">
        <v>2403</v>
      </c>
      <c r="E28" s="67" t="b">
        <v>0</v>
      </c>
      <c r="F28" s="77" t="b">
        <v>1</v>
      </c>
      <c r="G28" s="72" t="s">
        <v>2394</v>
      </c>
      <c r="H28" s="73" t="str">
        <f ca="1">IFERROR(VLOOKUP(DB_TBL_DATA_FIELDS[[#This Row],[FIELD_ID]],INDIRECT(DB_TBL_DATA_FIELDS[[#This Row],[SHEET_REF_CALC]]&amp;"!A:B"),2,FALSE),"")</f>
        <v/>
      </c>
      <c r="I28" s="78"/>
      <c r="J28" s="79" t="b">
        <f ca="1">(DB_TBL_DATA_FIELDS[[#This Row],[FIELD_VALUE_RAW]]="")</f>
        <v>1</v>
      </c>
      <c r="K28" s="79" t="s">
        <v>11</v>
      </c>
      <c r="L28" s="69" t="b">
        <f ca="1">AND(IF(DB_TBL_DATA_FIELDS[[#This Row],[FIELD_VALID_CUSTOM_LOGIC]]="",TRUE,DB_TBL_DATA_FIELDS[[#This Row],[FIELD_VALID_CUSTOM_LOGIC]]),DB_TBL_DATA_FIELDS[[#This Row],[RANGE_VALIDATION_PASSED_FLAG]])</f>
        <v>1</v>
      </c>
      <c r="M28" s="78"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8" s="69">
        <f ca="1">IF(DB_TBL_DATA_FIELDS[[#This Row],[SHEET_REF_CALC]]="","",IF(DB_TBL_DATA_FIELDS[[#This Row],[FIELD_EMPTY_FLAG]],IF(NOT(DB_TBL_DATA_FIELDS[[#This Row],[FIELD_REQ_FLAG]]),-1,1),IF(NOT(DB_TBL_DATA_FIELDS[[#This Row],[FIELD_VALID_FLAG]]),0,2)))</f>
        <v>1</v>
      </c>
      <c r="O28" s="69" t="str">
        <f ca="1">IFERROR(VLOOKUP(DB_TBL_DATA_FIELDS[[#This Row],[FIELD_STATUS_CODE]],DB_TBL_CONFIG_FIELDSTATUSCODES[#All],3,FALSE),"")</f>
        <v>Required</v>
      </c>
      <c r="P28" s="69" t="str">
        <f ca="1">IFERROR(VLOOKUP(DB_TBL_DATA_FIELDS[[#This Row],[FIELD_STATUS_CODE]],DB_TBL_CONFIG_FIELDSTATUSCODES[#All],4,FALSE),"")</f>
        <v>i</v>
      </c>
      <c r="Q28" s="69" t="b">
        <f>TRUE</f>
        <v>1</v>
      </c>
      <c r="R28" s="69" t="b">
        <f>TRUE</f>
        <v>1</v>
      </c>
      <c r="S28" s="75" t="s">
        <v>11</v>
      </c>
      <c r="T28" s="69">
        <f ca="1">IF(DB_TBL_DATA_FIELDS[[#This Row],[RANGE_VALIDATION_FLAG]]="Text",LEN(DB_TBL_DATA_FIELDS[[#This Row],[FIELD_VALUE_RAW]]),IFERROR(VALUE(DB_TBL_DATA_FIELDS[[#This Row],[FIELD_VALUE_RAW]]),-1))</f>
        <v>0</v>
      </c>
      <c r="U28" s="69">
        <v>0</v>
      </c>
      <c r="V28" s="88">
        <v>150</v>
      </c>
      <c r="W28" s="69" t="b">
        <f ca="1">IF(NOT(DB_TBL_DATA_FIELDS[[#This Row],[RANGE_VALIDATION_ON_FLAG]]),TRUE,
AND(DB_TBL_DATA_FIELDS[[#This Row],[RANGE_VALUE_LEN]]&gt;=DB_TBL_DATA_FIELDS[[#This Row],[RANGE_VALIDATION_MIN]],DB_TBL_DATA_FIELDS[[#This Row],[RANGE_VALUE_LEN]]&lt;=DB_TBL_DATA_FIELDS[[#This Row],[RANGE_VALIDATION_MAX]]))</f>
        <v>1</v>
      </c>
      <c r="X28" s="69">
        <v>1</v>
      </c>
      <c r="Y28" s="69">
        <f ca="1">IF(DB_TBL_DATA_FIELDS[[#This Row],[PCT_CALC_SHOW_STATUS_CODE]]=1,
DB_TBL_DATA_FIELDS[[#This Row],[FIELD_STATUS_CODE]],
IF(AND(DB_TBL_DATA_FIELDS[[#This Row],[PCT_CALC_SHOW_STATUS_CODE]]=2,DB_TBL_DATA_FIELDS[[#This Row],[FIELD_STATUS_CODE]]=0),
DB_TBL_DATA_FIELDS[[#This Row],[FIELD_STATUS_CODE]],
"")
)</f>
        <v>1</v>
      </c>
      <c r="Z28" s="69"/>
      <c r="AA28" s="73" t="s">
        <v>2424</v>
      </c>
      <c r="AB28" s="73" t="s">
        <v>2407</v>
      </c>
      <c r="AC28" s="68"/>
    </row>
    <row r="29" spans="1:29" x14ac:dyDescent="0.2">
      <c r="A29" s="4" t="s">
        <v>65</v>
      </c>
      <c r="B29" s="4" t="s">
        <v>64</v>
      </c>
      <c r="C29" s="16" t="str">
        <f ca="1">IF($H$10&lt;&gt;"R",IF(DB_TBL_DATA_FIELDS[[#This Row],[SHEET_REF_OWNER]]&lt;&gt;"",DB_TBL_DATA_FIELDS[[#This Row],[SHEET_REF_OWNER]],""),IF(DB_TBL_DATA_FIELDS[[#This Row],[SHEET_REF_RENTAL]]&lt;&gt;"",DB_TBL_DATA_FIELDS[[#This Row],[SHEET_REF_RENTAL]],""))</f>
        <v>RentalApp</v>
      </c>
      <c r="D29" s="4" t="s">
        <v>193</v>
      </c>
      <c r="E29" s="4" t="b">
        <v>0</v>
      </c>
      <c r="F29" s="25" t="b">
        <v>1</v>
      </c>
      <c r="G29" s="6" t="s">
        <v>202</v>
      </c>
      <c r="H29" s="10" t="str">
        <f ca="1">IFERROR(VLOOKUP(DB_TBL_DATA_FIELDS[[#This Row],[FIELD_ID]],INDIRECT(DB_TBL_DATA_FIELDS[[#This Row],[SHEET_REF_CALC]]&amp;"!A:B"),2,FALSE),"")</f>
        <v/>
      </c>
      <c r="I29" s="10"/>
      <c r="J29" s="2" t="b">
        <f ca="1">(DB_TBL_DATA_FIELDS[[#This Row],[FIELD_VALUE_RAW]]="")</f>
        <v>1</v>
      </c>
      <c r="K29" s="6" t="s">
        <v>11</v>
      </c>
      <c r="L29" s="7" t="b">
        <f ca="1">AND(IF(DB_TBL_DATA_FIELDS[[#This Row],[FIELD_VALID_CUSTOM_LOGIC]]="",TRUE,DB_TBL_DATA_FIELDS[[#This Row],[FIELD_VALID_CUSTOM_LOGIC]]),DB_TBL_DATA_FIELDS[[#This Row],[RANGE_VALIDATION_PASSED_FLAG]])</f>
        <v>1</v>
      </c>
      <c r="M29"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9" s="7">
        <f ca="1">IF(DB_TBL_DATA_FIELDS[[#This Row],[SHEET_REF_CALC]]="","",IF(DB_TBL_DATA_FIELDS[[#This Row],[FIELD_EMPTY_FLAG]],IF(NOT(DB_TBL_DATA_FIELDS[[#This Row],[FIELD_REQ_FLAG]]),-1,1),IF(NOT(DB_TBL_DATA_FIELDS[[#This Row],[FIELD_VALID_FLAG]]),0,2)))</f>
        <v>1</v>
      </c>
      <c r="O29" s="7" t="str">
        <f ca="1">IFERROR(VLOOKUP(DB_TBL_DATA_FIELDS[[#This Row],[FIELD_STATUS_CODE]],DB_TBL_CONFIG_FIELDSTATUSCODES[#All],3,FALSE),"")</f>
        <v>Required</v>
      </c>
      <c r="P29" s="7" t="str">
        <f ca="1">IFERROR(VLOOKUP(DB_TBL_DATA_FIELDS[[#This Row],[FIELD_STATUS_CODE]],DB_TBL_CONFIG_FIELDSTATUSCODES[#All],4,FALSE),"")</f>
        <v>i</v>
      </c>
      <c r="Q29" s="7" t="b">
        <f>TRUE</f>
        <v>1</v>
      </c>
      <c r="R29" s="7" t="b">
        <f>TRUE</f>
        <v>1</v>
      </c>
      <c r="S29" s="4" t="s">
        <v>11</v>
      </c>
      <c r="T29" s="7">
        <f ca="1">IF(DB_TBL_DATA_FIELDS[[#This Row],[RANGE_VALIDATION_FLAG]]="Text",LEN(DB_TBL_DATA_FIELDS[[#This Row],[FIELD_VALUE_RAW]]),IFERROR(VALUE(DB_TBL_DATA_FIELDS[[#This Row],[FIELD_VALUE_RAW]]),-1))</f>
        <v>0</v>
      </c>
      <c r="U29" s="8">
        <v>0</v>
      </c>
      <c r="V29" s="34">
        <v>150</v>
      </c>
      <c r="W29" s="7" t="b">
        <f ca="1">IF(NOT(DB_TBL_DATA_FIELDS[[#This Row],[RANGE_VALIDATION_ON_FLAG]]),TRUE,
AND(DB_TBL_DATA_FIELDS[[#This Row],[RANGE_VALUE_LEN]]&gt;=DB_TBL_DATA_FIELDS[[#This Row],[RANGE_VALIDATION_MIN]],DB_TBL_DATA_FIELDS[[#This Row],[RANGE_VALUE_LEN]]&lt;=DB_TBL_DATA_FIELDS[[#This Row],[RANGE_VALIDATION_MAX]]))</f>
        <v>1</v>
      </c>
      <c r="X29" s="16">
        <v>1</v>
      </c>
      <c r="Y29" s="16">
        <f ca="1">IF(DB_TBL_DATA_FIELDS[[#This Row],[PCT_CALC_SHOW_STATUS_CODE]]=1,
DB_TBL_DATA_FIELDS[[#This Row],[FIELD_STATUS_CODE]],
IF(AND(DB_TBL_DATA_FIELDS[[#This Row],[PCT_CALC_SHOW_STATUS_CODE]]=2,DB_TBL_DATA_FIELDS[[#This Row],[FIELD_STATUS_CODE]]=0),
DB_TBL_DATA_FIELDS[[#This Row],[FIELD_STATUS_CODE]],
"")
)</f>
        <v>1</v>
      </c>
      <c r="Z29" s="16"/>
      <c r="AA29" s="11" t="s">
        <v>2425</v>
      </c>
      <c r="AB29" s="10" t="s">
        <v>2408</v>
      </c>
      <c r="AC29" s="7"/>
    </row>
    <row r="30" spans="1:29" x14ac:dyDescent="0.2">
      <c r="A30" s="4" t="s">
        <v>65</v>
      </c>
      <c r="B30" s="4" t="s">
        <v>64</v>
      </c>
      <c r="C30" s="16" t="str">
        <f ca="1">IF($H$10&lt;&gt;"R",IF(DB_TBL_DATA_FIELDS[[#This Row],[SHEET_REF_OWNER]]&lt;&gt;"",DB_TBL_DATA_FIELDS[[#This Row],[SHEET_REF_OWNER]],""),IF(DB_TBL_DATA_FIELDS[[#This Row],[SHEET_REF_RENTAL]]&lt;&gt;"",DB_TBL_DATA_FIELDS[[#This Row],[SHEET_REF_RENTAL]],""))</f>
        <v>RentalApp</v>
      </c>
      <c r="D30" s="4" t="s">
        <v>195</v>
      </c>
      <c r="E30" s="4" t="b">
        <v>0</v>
      </c>
      <c r="F30" s="26" t="b">
        <v>1</v>
      </c>
      <c r="G30" s="20" t="s">
        <v>185</v>
      </c>
      <c r="H30" s="10" t="str">
        <f ca="1">IFERROR(VLOOKUP(DB_TBL_DATA_FIELDS[[#This Row],[FIELD_ID]],INDIRECT(DB_TBL_DATA_FIELDS[[#This Row],[SHEET_REF_CALC]]&amp;"!A:B"),2,FALSE),"")</f>
        <v/>
      </c>
      <c r="I30" s="10"/>
      <c r="J30" s="2" t="b">
        <f ca="1">(DB_TBL_DATA_FIELDS[[#This Row],[FIELD_VALUE_RAW]]="")</f>
        <v>1</v>
      </c>
      <c r="K30" s="20" t="s">
        <v>11</v>
      </c>
      <c r="L30" s="7" t="b">
        <f ca="1">AND(IF(DB_TBL_DATA_FIELDS[[#This Row],[FIELD_VALID_CUSTOM_LOGIC]]="",TRUE,DB_TBL_DATA_FIELDS[[#This Row],[FIELD_VALID_CUSTOM_LOGIC]]),DB_TBL_DATA_FIELDS[[#This Row],[RANGE_VALIDATION_PASSED_FLAG]])</f>
        <v>1</v>
      </c>
      <c r="M30"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0" s="7">
        <f ca="1">IF(DB_TBL_DATA_FIELDS[[#This Row],[SHEET_REF_CALC]]="","",IF(DB_TBL_DATA_FIELDS[[#This Row],[FIELD_EMPTY_FLAG]],IF(NOT(DB_TBL_DATA_FIELDS[[#This Row],[FIELD_REQ_FLAG]]),-1,1),IF(NOT(DB_TBL_DATA_FIELDS[[#This Row],[FIELD_VALID_FLAG]]),0,2)))</f>
        <v>1</v>
      </c>
      <c r="O30" s="7" t="str">
        <f ca="1">IFERROR(VLOOKUP(DB_TBL_DATA_FIELDS[[#This Row],[FIELD_STATUS_CODE]],DB_TBL_CONFIG_FIELDSTATUSCODES[#All],3,FALSE),"")</f>
        <v>Required</v>
      </c>
      <c r="P30" s="7" t="str">
        <f ca="1">IFERROR(VLOOKUP(DB_TBL_DATA_FIELDS[[#This Row],[FIELD_STATUS_CODE]],DB_TBL_CONFIG_FIELDSTATUSCODES[#All],4,FALSE),"")</f>
        <v>i</v>
      </c>
      <c r="Q30" s="7" t="b">
        <f>TRUE</f>
        <v>1</v>
      </c>
      <c r="R30" s="7" t="b">
        <f>TRUE</f>
        <v>1</v>
      </c>
      <c r="S30" s="19" t="s">
        <v>11</v>
      </c>
      <c r="T30" s="7">
        <f ca="1">IF(DB_TBL_DATA_FIELDS[[#This Row],[RANGE_VALIDATION_FLAG]]="Text",LEN(DB_TBL_DATA_FIELDS[[#This Row],[FIELD_VALUE_RAW]]),IFERROR(VALUE(DB_TBL_DATA_FIELDS[[#This Row],[FIELD_VALUE_RAW]]),-1))</f>
        <v>0</v>
      </c>
      <c r="U30" s="21">
        <v>0</v>
      </c>
      <c r="V30" s="87">
        <v>150</v>
      </c>
      <c r="W30" s="7" t="b">
        <f ca="1">IF(NOT(DB_TBL_DATA_FIELDS[[#This Row],[RANGE_VALIDATION_ON_FLAG]]),TRUE,
AND(DB_TBL_DATA_FIELDS[[#This Row],[RANGE_VALUE_LEN]]&gt;=DB_TBL_DATA_FIELDS[[#This Row],[RANGE_VALIDATION_MIN]],DB_TBL_DATA_FIELDS[[#This Row],[RANGE_VALUE_LEN]]&lt;=DB_TBL_DATA_FIELDS[[#This Row],[RANGE_VALIDATION_MAX]]))</f>
        <v>1</v>
      </c>
      <c r="X30" s="16">
        <v>1</v>
      </c>
      <c r="Y30" s="16">
        <f ca="1">IF(DB_TBL_DATA_FIELDS[[#This Row],[PCT_CALC_SHOW_STATUS_CODE]]=1,
DB_TBL_DATA_FIELDS[[#This Row],[FIELD_STATUS_CODE]],
IF(AND(DB_TBL_DATA_FIELDS[[#This Row],[PCT_CALC_SHOW_STATUS_CODE]]=2,DB_TBL_DATA_FIELDS[[#This Row],[FIELD_STATUS_CODE]]=0),
DB_TBL_DATA_FIELDS[[#This Row],[FIELD_STATUS_CODE]],
"")
)</f>
        <v>1</v>
      </c>
      <c r="Z30" s="16"/>
      <c r="AA30" s="11" t="s">
        <v>2426</v>
      </c>
      <c r="AB30" s="10" t="s">
        <v>2408</v>
      </c>
      <c r="AC30" s="7"/>
    </row>
    <row r="31" spans="1:29" x14ac:dyDescent="0.2">
      <c r="A31" s="4" t="s">
        <v>65</v>
      </c>
      <c r="B31" s="4" t="s">
        <v>64</v>
      </c>
      <c r="C31" s="16" t="str">
        <f ca="1">IF($H$10&lt;&gt;"R",IF(DB_TBL_DATA_FIELDS[[#This Row],[SHEET_REF_OWNER]]&lt;&gt;"",DB_TBL_DATA_FIELDS[[#This Row],[SHEET_REF_OWNER]],""),IF(DB_TBL_DATA_FIELDS[[#This Row],[SHEET_REF_RENTAL]]&lt;&gt;"",DB_TBL_DATA_FIELDS[[#This Row],[SHEET_REF_RENTAL]],""))</f>
        <v>RentalApp</v>
      </c>
      <c r="D31" s="4" t="s">
        <v>196</v>
      </c>
      <c r="E31" s="4" t="b">
        <v>0</v>
      </c>
      <c r="F31" s="35" t="b">
        <v>1</v>
      </c>
      <c r="G31" s="20" t="s">
        <v>186</v>
      </c>
      <c r="H31" s="10" t="str">
        <f ca="1">IFERROR(VLOOKUP(DB_TBL_DATA_FIELDS[[#This Row],[FIELD_ID]],INDIRECT(DB_TBL_DATA_FIELDS[[#This Row],[SHEET_REF_CALC]]&amp;"!A:B"),2,FALSE),"")</f>
        <v/>
      </c>
      <c r="I31" s="10"/>
      <c r="J31" s="2" t="b">
        <f ca="1">(DB_TBL_DATA_FIELDS[[#This Row],[FIELD_VALUE_RAW]]="")</f>
        <v>1</v>
      </c>
      <c r="K31" s="20" t="s">
        <v>11</v>
      </c>
      <c r="L31" s="7" t="b">
        <f ca="1">AND(IF(DB_TBL_DATA_FIELDS[[#This Row],[FIELD_VALID_CUSTOM_LOGIC]]="",TRUE,DB_TBL_DATA_FIELDS[[#This Row],[FIELD_VALID_CUSTOM_LOGIC]]),DB_TBL_DATA_FIELDS[[#This Row],[RANGE_VALIDATION_PASSED_FLAG]])</f>
        <v>1</v>
      </c>
      <c r="M31"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1" s="7">
        <f ca="1">IF(DB_TBL_DATA_FIELDS[[#This Row],[SHEET_REF_CALC]]="","",IF(DB_TBL_DATA_FIELDS[[#This Row],[FIELD_EMPTY_FLAG]],IF(NOT(DB_TBL_DATA_FIELDS[[#This Row],[FIELD_REQ_FLAG]]),-1,1),IF(NOT(DB_TBL_DATA_FIELDS[[#This Row],[FIELD_VALID_FLAG]]),0,2)))</f>
        <v>1</v>
      </c>
      <c r="O31" s="7" t="str">
        <f ca="1">IFERROR(VLOOKUP(DB_TBL_DATA_FIELDS[[#This Row],[FIELD_STATUS_CODE]],DB_TBL_CONFIG_FIELDSTATUSCODES[#All],3,FALSE),"")</f>
        <v>Required</v>
      </c>
      <c r="P31" s="7" t="str">
        <f ca="1">IFERROR(VLOOKUP(DB_TBL_DATA_FIELDS[[#This Row],[FIELD_STATUS_CODE]],DB_TBL_CONFIG_FIELDSTATUSCODES[#All],4,FALSE),"")</f>
        <v>i</v>
      </c>
      <c r="Q31" s="7" t="b">
        <f>TRUE</f>
        <v>1</v>
      </c>
      <c r="R31" s="7" t="b">
        <f>TRUE</f>
        <v>1</v>
      </c>
      <c r="S31" s="19" t="s">
        <v>11</v>
      </c>
      <c r="T31" s="7">
        <f ca="1">IF(DB_TBL_DATA_FIELDS[[#This Row],[RANGE_VALIDATION_FLAG]]="Text",LEN(DB_TBL_DATA_FIELDS[[#This Row],[FIELD_VALUE_RAW]]),IFERROR(VALUE(DB_TBL_DATA_FIELDS[[#This Row],[FIELD_VALUE_RAW]]),-1))</f>
        <v>0</v>
      </c>
      <c r="U31" s="21">
        <v>0</v>
      </c>
      <c r="V31" s="87">
        <v>150</v>
      </c>
      <c r="W31" s="7" t="b">
        <f ca="1">IF(NOT(DB_TBL_DATA_FIELDS[[#This Row],[RANGE_VALIDATION_ON_FLAG]]),TRUE,
AND(DB_TBL_DATA_FIELDS[[#This Row],[RANGE_VALUE_LEN]]&gt;=DB_TBL_DATA_FIELDS[[#This Row],[RANGE_VALIDATION_MIN]],DB_TBL_DATA_FIELDS[[#This Row],[RANGE_VALUE_LEN]]&lt;=DB_TBL_DATA_FIELDS[[#This Row],[RANGE_VALIDATION_MAX]]))</f>
        <v>1</v>
      </c>
      <c r="X31" s="16">
        <v>1</v>
      </c>
      <c r="Y31" s="16">
        <f ca="1">IF(DB_TBL_DATA_FIELDS[[#This Row],[PCT_CALC_SHOW_STATUS_CODE]]=1,
DB_TBL_DATA_FIELDS[[#This Row],[FIELD_STATUS_CODE]],
IF(AND(DB_TBL_DATA_FIELDS[[#This Row],[PCT_CALC_SHOW_STATUS_CODE]]=2,DB_TBL_DATA_FIELDS[[#This Row],[FIELD_STATUS_CODE]]=0),
DB_TBL_DATA_FIELDS[[#This Row],[FIELD_STATUS_CODE]],
"")
)</f>
        <v>1</v>
      </c>
      <c r="Z31" s="16"/>
      <c r="AA31" s="11" t="s">
        <v>2427</v>
      </c>
      <c r="AB31" s="10" t="s">
        <v>2408</v>
      </c>
      <c r="AC31" s="7"/>
    </row>
    <row r="32" spans="1:29" x14ac:dyDescent="0.2">
      <c r="A32" s="4" t="s">
        <v>65</v>
      </c>
      <c r="B32" s="4" t="s">
        <v>64</v>
      </c>
      <c r="C32" s="16" t="str">
        <f ca="1">IF($H$10&lt;&gt;"R",IF(DB_TBL_DATA_FIELDS[[#This Row],[SHEET_REF_OWNER]]&lt;&gt;"",DB_TBL_DATA_FIELDS[[#This Row],[SHEET_REF_OWNER]],""),IF(DB_TBL_DATA_FIELDS[[#This Row],[SHEET_REF_RENTAL]]&lt;&gt;"",DB_TBL_DATA_FIELDS[[#This Row],[SHEET_REF_RENTAL]],""))</f>
        <v>RentalApp</v>
      </c>
      <c r="D32" s="4" t="s">
        <v>197</v>
      </c>
      <c r="E32" s="4" t="b">
        <v>0</v>
      </c>
      <c r="F32" s="35" t="b">
        <v>1</v>
      </c>
      <c r="G32" s="20" t="s">
        <v>188</v>
      </c>
      <c r="H32" s="10" t="str">
        <f ca="1">IFERROR(VLOOKUP(DB_TBL_DATA_FIELDS[[#This Row],[FIELD_ID]],INDIRECT(DB_TBL_DATA_FIELDS[[#This Row],[SHEET_REF_CALC]]&amp;"!A:B"),2,FALSE),"")</f>
        <v/>
      </c>
      <c r="I32" s="10"/>
      <c r="J32" s="2" t="b">
        <f ca="1">(DB_TBL_DATA_FIELDS[[#This Row],[FIELD_VALUE_RAW]]="")</f>
        <v>1</v>
      </c>
      <c r="K32" s="20" t="s">
        <v>11</v>
      </c>
      <c r="L32" s="7" t="b">
        <f ca="1">AND(IF(DB_TBL_DATA_FIELDS[[#This Row],[FIELD_VALID_CUSTOM_LOGIC]]="",TRUE,DB_TBL_DATA_FIELDS[[#This Row],[FIELD_VALID_CUSTOM_LOGIC]]),DB_TBL_DATA_FIELDS[[#This Row],[RANGE_VALIDATION_PASSED_FLAG]])</f>
        <v>1</v>
      </c>
      <c r="M32"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2" s="7">
        <f ca="1">IF(DB_TBL_DATA_FIELDS[[#This Row],[SHEET_REF_CALC]]="","",IF(DB_TBL_DATA_FIELDS[[#This Row],[FIELD_EMPTY_FLAG]],IF(NOT(DB_TBL_DATA_FIELDS[[#This Row],[FIELD_REQ_FLAG]]),-1,1),IF(NOT(DB_TBL_DATA_FIELDS[[#This Row],[FIELD_VALID_FLAG]]),0,2)))</f>
        <v>1</v>
      </c>
      <c r="O32" s="7" t="str">
        <f ca="1">IFERROR(VLOOKUP(DB_TBL_DATA_FIELDS[[#This Row],[FIELD_STATUS_CODE]],DB_TBL_CONFIG_FIELDSTATUSCODES[#All],3,FALSE),"")</f>
        <v>Required</v>
      </c>
      <c r="P32" s="7" t="str">
        <f ca="1">IFERROR(VLOOKUP(DB_TBL_DATA_FIELDS[[#This Row],[FIELD_STATUS_CODE]],DB_TBL_CONFIG_FIELDSTATUSCODES[#All],4,FALSE),"")</f>
        <v>i</v>
      </c>
      <c r="Q32" s="7" t="b">
        <f>TRUE</f>
        <v>1</v>
      </c>
      <c r="R32" s="7" t="b">
        <f>TRUE</f>
        <v>1</v>
      </c>
      <c r="S32" s="19" t="s">
        <v>11</v>
      </c>
      <c r="T32" s="7">
        <f ca="1">IF(DB_TBL_DATA_FIELDS[[#This Row],[RANGE_VALIDATION_FLAG]]="Text",LEN(DB_TBL_DATA_FIELDS[[#This Row],[FIELD_VALUE_RAW]]),IFERROR(VALUE(DB_TBL_DATA_FIELDS[[#This Row],[FIELD_VALUE_RAW]]),-1))</f>
        <v>0</v>
      </c>
      <c r="U32" s="21">
        <v>0</v>
      </c>
      <c r="V32" s="87">
        <v>60</v>
      </c>
      <c r="W32" s="7" t="b">
        <f ca="1">IF(NOT(DB_TBL_DATA_FIELDS[[#This Row],[RANGE_VALIDATION_ON_FLAG]]),TRUE,
AND(DB_TBL_DATA_FIELDS[[#This Row],[RANGE_VALUE_LEN]]&gt;=DB_TBL_DATA_FIELDS[[#This Row],[RANGE_VALIDATION_MIN]],DB_TBL_DATA_FIELDS[[#This Row],[RANGE_VALUE_LEN]]&lt;=DB_TBL_DATA_FIELDS[[#This Row],[RANGE_VALIDATION_MAX]]))</f>
        <v>1</v>
      </c>
      <c r="X32" s="16">
        <v>1</v>
      </c>
      <c r="Y32" s="16">
        <f ca="1">IF(DB_TBL_DATA_FIELDS[[#This Row],[PCT_CALC_SHOW_STATUS_CODE]]=1,
DB_TBL_DATA_FIELDS[[#This Row],[FIELD_STATUS_CODE]],
IF(AND(DB_TBL_DATA_FIELDS[[#This Row],[PCT_CALC_SHOW_STATUS_CODE]]=2,DB_TBL_DATA_FIELDS[[#This Row],[FIELD_STATUS_CODE]]=0),
DB_TBL_DATA_FIELDS[[#This Row],[FIELD_STATUS_CODE]],
"")
)</f>
        <v>1</v>
      </c>
      <c r="Z32" s="16"/>
      <c r="AA32" s="11" t="s">
        <v>2428</v>
      </c>
      <c r="AB32" s="10" t="s">
        <v>2408</v>
      </c>
      <c r="AC32" s="7"/>
    </row>
    <row r="33" spans="1:29" x14ac:dyDescent="0.2">
      <c r="A33" s="4" t="s">
        <v>65</v>
      </c>
      <c r="B33" s="4" t="s">
        <v>64</v>
      </c>
      <c r="C33" s="16" t="str">
        <f ca="1">IF($H$10&lt;&gt;"R",IF(DB_TBL_DATA_FIELDS[[#This Row],[SHEET_REF_OWNER]]&lt;&gt;"",DB_TBL_DATA_FIELDS[[#This Row],[SHEET_REF_OWNER]],""),IF(DB_TBL_DATA_FIELDS[[#This Row],[SHEET_REF_RENTAL]]&lt;&gt;"",DB_TBL_DATA_FIELDS[[#This Row],[SHEET_REF_RENTAL]],""))</f>
        <v>RentalApp</v>
      </c>
      <c r="D33" s="4" t="s">
        <v>198</v>
      </c>
      <c r="E33" s="4" t="b">
        <v>0</v>
      </c>
      <c r="F33" s="35" t="b">
        <v>1</v>
      </c>
      <c r="G33" s="20" t="s">
        <v>189</v>
      </c>
      <c r="H33" s="10" t="str">
        <f ca="1">IFERROR(VLOOKUP(DB_TBL_DATA_FIELDS[[#This Row],[FIELD_ID]],INDIRECT(DB_TBL_DATA_FIELDS[[#This Row],[SHEET_REF_CALC]]&amp;"!A:B"),2,FALSE),"")</f>
        <v/>
      </c>
      <c r="I33" s="10"/>
      <c r="J33" s="2" t="b">
        <f ca="1">(DB_TBL_DATA_FIELDS[[#This Row],[FIELD_VALUE_RAW]]="")</f>
        <v>1</v>
      </c>
      <c r="K33" s="20" t="s">
        <v>11</v>
      </c>
      <c r="L33" s="7" t="b">
        <f ca="1">AND(IF(DB_TBL_DATA_FIELDS[[#This Row],[FIELD_VALID_CUSTOM_LOGIC]]="",TRUE,DB_TBL_DATA_FIELDS[[#This Row],[FIELD_VALID_CUSTOM_LOGIC]]),DB_TBL_DATA_FIELDS[[#This Row],[RANGE_VALIDATION_PASSED_FLAG]])</f>
        <v>1</v>
      </c>
      <c r="M33"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3" s="7">
        <f ca="1">IF(DB_TBL_DATA_FIELDS[[#This Row],[SHEET_REF_CALC]]="","",IF(DB_TBL_DATA_FIELDS[[#This Row],[FIELD_EMPTY_FLAG]],IF(NOT(DB_TBL_DATA_FIELDS[[#This Row],[FIELD_REQ_FLAG]]),-1,1),IF(NOT(DB_TBL_DATA_FIELDS[[#This Row],[FIELD_VALID_FLAG]]),0,2)))</f>
        <v>1</v>
      </c>
      <c r="O33" s="7" t="str">
        <f ca="1">IFERROR(VLOOKUP(DB_TBL_DATA_FIELDS[[#This Row],[FIELD_STATUS_CODE]],DB_TBL_CONFIG_FIELDSTATUSCODES[#All],3,FALSE),"")</f>
        <v>Required</v>
      </c>
      <c r="P33" s="7" t="str">
        <f ca="1">IFERROR(VLOOKUP(DB_TBL_DATA_FIELDS[[#This Row],[FIELD_STATUS_CODE]],DB_TBL_CONFIG_FIELDSTATUSCODES[#All],4,FALSE),"")</f>
        <v>i</v>
      </c>
      <c r="Q33" s="7" t="b">
        <f>TRUE</f>
        <v>1</v>
      </c>
      <c r="R33" s="7" t="b">
        <f>TRUE</f>
        <v>1</v>
      </c>
      <c r="S33" s="19" t="s">
        <v>11</v>
      </c>
      <c r="T33" s="7">
        <f ca="1">IF(DB_TBL_DATA_FIELDS[[#This Row],[RANGE_VALIDATION_FLAG]]="Text",LEN(DB_TBL_DATA_FIELDS[[#This Row],[FIELD_VALUE_RAW]]),IFERROR(VALUE(DB_TBL_DATA_FIELDS[[#This Row],[FIELD_VALUE_RAW]]),-1))</f>
        <v>0</v>
      </c>
      <c r="U33" s="21">
        <v>0</v>
      </c>
      <c r="V33" s="87">
        <v>30</v>
      </c>
      <c r="W33" s="7" t="b">
        <f ca="1">IF(NOT(DB_TBL_DATA_FIELDS[[#This Row],[RANGE_VALIDATION_ON_FLAG]]),TRUE,
AND(DB_TBL_DATA_FIELDS[[#This Row],[RANGE_VALUE_LEN]]&gt;=DB_TBL_DATA_FIELDS[[#This Row],[RANGE_VALIDATION_MIN]],DB_TBL_DATA_FIELDS[[#This Row],[RANGE_VALUE_LEN]]&lt;=DB_TBL_DATA_FIELDS[[#This Row],[RANGE_VALIDATION_MAX]]))</f>
        <v>1</v>
      </c>
      <c r="X33" s="16">
        <v>1</v>
      </c>
      <c r="Y33" s="16">
        <f ca="1">IF(DB_TBL_DATA_FIELDS[[#This Row],[PCT_CALC_SHOW_STATUS_CODE]]=1,
DB_TBL_DATA_FIELDS[[#This Row],[FIELD_STATUS_CODE]],
IF(AND(DB_TBL_DATA_FIELDS[[#This Row],[PCT_CALC_SHOW_STATUS_CODE]]=2,DB_TBL_DATA_FIELDS[[#This Row],[FIELD_STATUS_CODE]]=0),
DB_TBL_DATA_FIELDS[[#This Row],[FIELD_STATUS_CODE]],
"")
)</f>
        <v>1</v>
      </c>
      <c r="Z33" s="16"/>
      <c r="AA33" s="11" t="s">
        <v>2429</v>
      </c>
      <c r="AB33" s="10" t="s">
        <v>2408</v>
      </c>
      <c r="AC33" s="7"/>
    </row>
    <row r="34" spans="1:29" x14ac:dyDescent="0.2">
      <c r="A34" s="4" t="s">
        <v>65</v>
      </c>
      <c r="B34" s="4" t="s">
        <v>64</v>
      </c>
      <c r="C34" s="16" t="str">
        <f ca="1">IF($H$10&lt;&gt;"R",IF(DB_TBL_DATA_FIELDS[[#This Row],[SHEET_REF_OWNER]]&lt;&gt;"",DB_TBL_DATA_FIELDS[[#This Row],[SHEET_REF_OWNER]],""),IF(DB_TBL_DATA_FIELDS[[#This Row],[SHEET_REF_RENTAL]]&lt;&gt;"",DB_TBL_DATA_FIELDS[[#This Row],[SHEET_REF_RENTAL]],""))</f>
        <v>RentalApp</v>
      </c>
      <c r="D34" s="4" t="s">
        <v>199</v>
      </c>
      <c r="E34" s="4" t="b">
        <v>0</v>
      </c>
      <c r="F34" s="35" t="b">
        <v>1</v>
      </c>
      <c r="G34" s="20" t="s">
        <v>190</v>
      </c>
      <c r="H34" s="10" t="str">
        <f ca="1">IFERROR(VLOOKUP(DB_TBL_DATA_FIELDS[[#This Row],[FIELD_ID]],INDIRECT(DB_TBL_DATA_FIELDS[[#This Row],[SHEET_REF_CALC]]&amp;"!A:B"),2,FALSE),"")</f>
        <v/>
      </c>
      <c r="I34" s="10"/>
      <c r="J34" s="2" t="b">
        <f ca="1">(DB_TBL_DATA_FIELDS[[#This Row],[FIELD_VALUE_RAW]]="")</f>
        <v>1</v>
      </c>
      <c r="K34" s="20" t="s">
        <v>11</v>
      </c>
      <c r="L34" s="7" t="b">
        <f ca="1">AND(IF(DB_TBL_DATA_FIELDS[[#This Row],[FIELD_VALID_CUSTOM_LOGIC]]="",TRUE,DB_TBL_DATA_FIELDS[[#This Row],[FIELD_VALID_CUSTOM_LOGIC]]),DB_TBL_DATA_FIELDS[[#This Row],[RANGE_VALIDATION_PASSED_FLAG]])</f>
        <v>0</v>
      </c>
      <c r="M34"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4" s="7">
        <f ca="1">IF(DB_TBL_DATA_FIELDS[[#This Row],[SHEET_REF_CALC]]="","",IF(DB_TBL_DATA_FIELDS[[#This Row],[FIELD_EMPTY_FLAG]],IF(NOT(DB_TBL_DATA_FIELDS[[#This Row],[FIELD_REQ_FLAG]]),-1,1),IF(NOT(DB_TBL_DATA_FIELDS[[#This Row],[FIELD_VALID_FLAG]]),0,2)))</f>
        <v>1</v>
      </c>
      <c r="O34" s="7" t="str">
        <f ca="1">IFERROR(VLOOKUP(DB_TBL_DATA_FIELDS[[#This Row],[FIELD_STATUS_CODE]],DB_TBL_CONFIG_FIELDSTATUSCODES[#All],3,FALSE),"")</f>
        <v>Required</v>
      </c>
      <c r="P34" s="7" t="str">
        <f ca="1">IFERROR(VLOOKUP(DB_TBL_DATA_FIELDS[[#This Row],[FIELD_STATUS_CODE]],DB_TBL_CONFIG_FIELDSTATUSCODES[#All],4,FALSE),"")</f>
        <v>i</v>
      </c>
      <c r="Q34" s="7" t="b">
        <f>TRUE</f>
        <v>1</v>
      </c>
      <c r="R34" s="7" t="b">
        <f>TRUE</f>
        <v>1</v>
      </c>
      <c r="S34" s="19" t="s">
        <v>11</v>
      </c>
      <c r="T34" s="7">
        <f ca="1">IF(DB_TBL_DATA_FIELDS[[#This Row],[RANGE_VALIDATION_FLAG]]="Text",LEN(DB_TBL_DATA_FIELDS[[#This Row],[FIELD_VALUE_RAW]]),IFERROR(VALUE(DB_TBL_DATA_FIELDS[[#This Row],[FIELD_VALUE_RAW]]),-1))</f>
        <v>0</v>
      </c>
      <c r="U34" s="21">
        <v>2</v>
      </c>
      <c r="V34" s="87">
        <v>2</v>
      </c>
      <c r="W34" s="7" t="b">
        <f ca="1">IF(NOT(DB_TBL_DATA_FIELDS[[#This Row],[RANGE_VALIDATION_ON_FLAG]]),TRUE,
AND(DB_TBL_DATA_FIELDS[[#This Row],[RANGE_VALUE_LEN]]&gt;=DB_TBL_DATA_FIELDS[[#This Row],[RANGE_VALIDATION_MIN]],DB_TBL_DATA_FIELDS[[#This Row],[RANGE_VALUE_LEN]]&lt;=DB_TBL_DATA_FIELDS[[#This Row],[RANGE_VALIDATION_MAX]]))</f>
        <v>0</v>
      </c>
      <c r="X34" s="16">
        <v>1</v>
      </c>
      <c r="Y34" s="16">
        <f ca="1">IF(DB_TBL_DATA_FIELDS[[#This Row],[PCT_CALC_SHOW_STATUS_CODE]]=1,
DB_TBL_DATA_FIELDS[[#This Row],[FIELD_STATUS_CODE]],
IF(AND(DB_TBL_DATA_FIELDS[[#This Row],[PCT_CALC_SHOW_STATUS_CODE]]=2,DB_TBL_DATA_FIELDS[[#This Row],[FIELD_STATUS_CODE]]=0),
DB_TBL_DATA_FIELDS[[#This Row],[FIELD_STATUS_CODE]],
"")
)</f>
        <v>1</v>
      </c>
      <c r="Z34" s="16"/>
      <c r="AA34" s="11" t="s">
        <v>2430</v>
      </c>
      <c r="AB34" s="10" t="s">
        <v>2408</v>
      </c>
      <c r="AC34" s="7"/>
    </row>
    <row r="35" spans="1:29" x14ac:dyDescent="0.2">
      <c r="A35" s="4" t="s">
        <v>65</v>
      </c>
      <c r="B35" s="4" t="s">
        <v>64</v>
      </c>
      <c r="C35" s="16" t="str">
        <f ca="1">IF($H$10&lt;&gt;"R",IF(DB_TBL_DATA_FIELDS[[#This Row],[SHEET_REF_OWNER]]&lt;&gt;"",DB_TBL_DATA_FIELDS[[#This Row],[SHEET_REF_OWNER]],""),IF(DB_TBL_DATA_FIELDS[[#This Row],[SHEET_REF_RENTAL]]&lt;&gt;"",DB_TBL_DATA_FIELDS[[#This Row],[SHEET_REF_RENTAL]],""))</f>
        <v>RentalApp</v>
      </c>
      <c r="D35" s="4" t="s">
        <v>200</v>
      </c>
      <c r="E35" s="4" t="b">
        <v>0</v>
      </c>
      <c r="F35" s="35" t="b">
        <v>1</v>
      </c>
      <c r="G35" s="20" t="s">
        <v>191</v>
      </c>
      <c r="H35" s="10" t="str">
        <f ca="1">IFERROR(VLOOKUP(DB_TBL_DATA_FIELDS[[#This Row],[FIELD_ID]],INDIRECT(DB_TBL_DATA_FIELDS[[#This Row],[SHEET_REF_CALC]]&amp;"!A:B"),2,FALSE),"")</f>
        <v/>
      </c>
      <c r="I35" s="44" t="b">
        <f ca="1">NOT(LEFT(DB_TBL_DATA_FIELDS[[#This Row],[FIELD_VALUE_RAW]],1)="-")</f>
        <v>1</v>
      </c>
      <c r="J35" s="2" t="b">
        <f ca="1">(DB_TBL_DATA_FIELDS[[#This Row],[FIELD_VALUE_RAW]]="")</f>
        <v>1</v>
      </c>
      <c r="K35" s="20" t="s">
        <v>11</v>
      </c>
      <c r="L35" s="7" t="b">
        <f ca="1">AND(IF(DB_TBL_DATA_FIELDS[[#This Row],[FIELD_VALID_CUSTOM_LOGIC]]="",TRUE,DB_TBL_DATA_FIELDS[[#This Row],[FIELD_VALID_CUSTOM_LOGIC]]),DB_TBL_DATA_FIELDS[[#This Row],[RANGE_VALIDATION_PASSED_FLAG]])</f>
        <v>0</v>
      </c>
      <c r="M35"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5" s="7">
        <f ca="1">IF(DB_TBL_DATA_FIELDS[[#This Row],[SHEET_REF_CALC]]="","",IF(DB_TBL_DATA_FIELDS[[#This Row],[FIELD_EMPTY_FLAG]],IF(NOT(DB_TBL_DATA_FIELDS[[#This Row],[FIELD_REQ_FLAG]]),-1,1),IF(NOT(DB_TBL_DATA_FIELDS[[#This Row],[FIELD_VALID_FLAG]]),0,2)))</f>
        <v>1</v>
      </c>
      <c r="O35" s="7" t="str">
        <f ca="1">IFERROR(VLOOKUP(DB_TBL_DATA_FIELDS[[#This Row],[FIELD_STATUS_CODE]],DB_TBL_CONFIG_FIELDSTATUSCODES[#All],3,FALSE),"")</f>
        <v>Required</v>
      </c>
      <c r="P35" s="7" t="str">
        <f ca="1">IFERROR(VLOOKUP(DB_TBL_DATA_FIELDS[[#This Row],[FIELD_STATUS_CODE]],DB_TBL_CONFIG_FIELDSTATUSCODES[#All],4,FALSE),"")</f>
        <v>i</v>
      </c>
      <c r="Q35" s="7" t="b">
        <f>TRUE</f>
        <v>1</v>
      </c>
      <c r="R35" s="7" t="b">
        <f>TRUE</f>
        <v>1</v>
      </c>
      <c r="S35" s="19" t="s">
        <v>11</v>
      </c>
      <c r="T35" s="7">
        <f ca="1">IF(DB_TBL_DATA_FIELDS[[#This Row],[RANGE_VALIDATION_FLAG]]="Text",LEN(DB_TBL_DATA_FIELDS[[#This Row],[FIELD_VALUE_RAW]]),IFERROR(VALUE(DB_TBL_DATA_FIELDS[[#This Row],[FIELD_VALUE_RAW]]),-1))</f>
        <v>0</v>
      </c>
      <c r="U35" s="21">
        <v>5</v>
      </c>
      <c r="V35" s="87">
        <v>10</v>
      </c>
      <c r="W35" s="7" t="b">
        <f ca="1">IF(NOT(DB_TBL_DATA_FIELDS[[#This Row],[RANGE_VALIDATION_ON_FLAG]]),TRUE,
AND(DB_TBL_DATA_FIELDS[[#This Row],[RANGE_VALUE_LEN]]&gt;=DB_TBL_DATA_FIELDS[[#This Row],[RANGE_VALIDATION_MIN]],DB_TBL_DATA_FIELDS[[#This Row],[RANGE_VALUE_LEN]]&lt;=DB_TBL_DATA_FIELDS[[#This Row],[RANGE_VALIDATION_MAX]]))</f>
        <v>0</v>
      </c>
      <c r="X35" s="16">
        <v>1</v>
      </c>
      <c r="Y35" s="16">
        <f ca="1">IF(DB_TBL_DATA_FIELDS[[#This Row],[PCT_CALC_SHOW_STATUS_CODE]]=1,
DB_TBL_DATA_FIELDS[[#This Row],[FIELD_STATUS_CODE]],
IF(AND(DB_TBL_DATA_FIELDS[[#This Row],[PCT_CALC_SHOW_STATUS_CODE]]=2,DB_TBL_DATA_FIELDS[[#This Row],[FIELD_STATUS_CODE]]=0),
DB_TBL_DATA_FIELDS[[#This Row],[FIELD_STATUS_CODE]],
"")
)</f>
        <v>1</v>
      </c>
      <c r="Z35" s="16"/>
      <c r="AA35" s="11" t="s">
        <v>2431</v>
      </c>
      <c r="AB35" s="10" t="s">
        <v>2408</v>
      </c>
      <c r="AC35" s="7"/>
    </row>
    <row r="36" spans="1:29" x14ac:dyDescent="0.2">
      <c r="A36" s="4" t="s">
        <v>65</v>
      </c>
      <c r="B36" s="4" t="s">
        <v>64</v>
      </c>
      <c r="C36" s="16" t="str">
        <f ca="1">IF($H$10&lt;&gt;"R",IF(DB_TBL_DATA_FIELDS[[#This Row],[SHEET_REF_OWNER]]&lt;&gt;"",DB_TBL_DATA_FIELDS[[#This Row],[SHEET_REF_OWNER]],""),IF(DB_TBL_DATA_FIELDS[[#This Row],[SHEET_REF_RENTAL]]&lt;&gt;"",DB_TBL_DATA_FIELDS[[#This Row],[SHEET_REF_RENTAL]],""))</f>
        <v>RentalApp</v>
      </c>
      <c r="D36" s="4" t="s">
        <v>201</v>
      </c>
      <c r="E36" s="4" t="b">
        <v>0</v>
      </c>
      <c r="F36" s="26" t="b">
        <v>1</v>
      </c>
      <c r="G36" s="20" t="s">
        <v>192</v>
      </c>
      <c r="H36" s="10" t="str">
        <f ca="1">IFERROR(VLOOKUP(DB_TBL_DATA_FIELDS[[#This Row],[FIELD_ID]],INDIRECT(DB_TBL_DATA_FIELDS[[#This Row],[SHEET_REF_CALC]]&amp;"!A:B"),2,FALSE),"")</f>
        <v/>
      </c>
      <c r="I36" s="43" t="b">
        <f ca="1">AND(
IFERROR(SEARCH(".",DB_TBL_DATA_FIELDS[[#This Row],[FIELD_VALUE_RAW]],(SEARCH("@",DB_TBL_DATA_FIELDS[[#This Row],[FIELD_VALUE_RAW]],1))+2),0)&gt;0,
NOT(IFERROR(SEARCH(".",RIGHT(DB_TBL_DATA_FIELDS[[#This Row],[FIELD_VALUE_RAW]],2)),0)&gt;0)
)</f>
        <v>0</v>
      </c>
      <c r="J36" s="6" t="b">
        <f ca="1">(DB_TBL_DATA_FIELDS[[#This Row],[FIELD_VALUE_RAW]]="")</f>
        <v>1</v>
      </c>
      <c r="K36" s="20" t="s">
        <v>11</v>
      </c>
      <c r="L36" s="8" t="b">
        <f ca="1">AND(IF(DB_TBL_DATA_FIELDS[[#This Row],[FIELD_VALID_CUSTOM_LOGIC]]="",TRUE,DB_TBL_DATA_FIELDS[[#This Row],[FIELD_VALID_CUSTOM_LOGIC]]),DB_TBL_DATA_FIELDS[[#This Row],[RANGE_VALIDATION_PASSED_FLAG]])</f>
        <v>0</v>
      </c>
      <c r="M36"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6" s="8">
        <f ca="1">IF(DB_TBL_DATA_FIELDS[[#This Row],[SHEET_REF_CALC]]="","",IF(DB_TBL_DATA_FIELDS[[#This Row],[FIELD_EMPTY_FLAG]],IF(NOT(DB_TBL_DATA_FIELDS[[#This Row],[FIELD_REQ_FLAG]]),-1,1),IF(NOT(DB_TBL_DATA_FIELDS[[#This Row],[FIELD_VALID_FLAG]]),0,2)))</f>
        <v>1</v>
      </c>
      <c r="O36" s="8" t="str">
        <f ca="1">IFERROR(VLOOKUP(DB_TBL_DATA_FIELDS[[#This Row],[FIELD_STATUS_CODE]],DB_TBL_CONFIG_FIELDSTATUSCODES[#All],3,FALSE),"")</f>
        <v>Required</v>
      </c>
      <c r="P36" s="8" t="str">
        <f ca="1">IFERROR(VLOOKUP(DB_TBL_DATA_FIELDS[[#This Row],[FIELD_STATUS_CODE]],DB_TBL_CONFIG_FIELDSTATUSCODES[#All],4,FALSE),"")</f>
        <v>i</v>
      </c>
      <c r="Q36" s="8" t="b">
        <f>TRUE</f>
        <v>1</v>
      </c>
      <c r="R36" s="8" t="b">
        <f>TRUE</f>
        <v>1</v>
      </c>
      <c r="S36" s="19" t="s">
        <v>11</v>
      </c>
      <c r="T36" s="8">
        <f ca="1">IF(DB_TBL_DATA_FIELDS[[#This Row],[RANGE_VALIDATION_FLAG]]="Text",LEN(DB_TBL_DATA_FIELDS[[#This Row],[FIELD_VALUE_RAW]]),IFERROR(VALUE(DB_TBL_DATA_FIELDS[[#This Row],[FIELD_VALUE_RAW]]),-1))</f>
        <v>0</v>
      </c>
      <c r="U36" s="21">
        <v>0</v>
      </c>
      <c r="V36" s="87">
        <v>150</v>
      </c>
      <c r="W36" s="8" t="b">
        <f ca="1">IF(NOT(DB_TBL_DATA_FIELDS[[#This Row],[RANGE_VALIDATION_ON_FLAG]]),TRUE,
AND(DB_TBL_DATA_FIELDS[[#This Row],[RANGE_VALUE_LEN]]&gt;=DB_TBL_DATA_FIELDS[[#This Row],[RANGE_VALIDATION_MIN]],DB_TBL_DATA_FIELDS[[#This Row],[RANGE_VALUE_LEN]]&lt;=DB_TBL_DATA_FIELDS[[#This Row],[RANGE_VALIDATION_MAX]]))</f>
        <v>1</v>
      </c>
      <c r="X36" s="16">
        <v>1</v>
      </c>
      <c r="Y36" s="16">
        <f ca="1">IF(DB_TBL_DATA_FIELDS[[#This Row],[PCT_CALC_SHOW_STATUS_CODE]]=1,
DB_TBL_DATA_FIELDS[[#This Row],[FIELD_STATUS_CODE]],
IF(AND(DB_TBL_DATA_FIELDS[[#This Row],[PCT_CALC_SHOW_STATUS_CODE]]=2,DB_TBL_DATA_FIELDS[[#This Row],[FIELD_STATUS_CODE]]=0),
DB_TBL_DATA_FIELDS[[#This Row],[FIELD_STATUS_CODE]],
"")
)</f>
        <v>1</v>
      </c>
      <c r="Z36" s="103" t="str">
        <f ca="1">IF(DB_TBL_DATA_FIELDS[[#This Row],[FIELD_STATUS_CODE]]=0,IF(NOT(DB_TBL_DATA_FIELDS[[#This Row],[FIELD_VALID_CUSTOM_LOGIC]]),
IF(IFERROR(SEARCH(".",RIGHT(DB_TBL_DATA_FIELDS[[#This Row],[FIELD_VALUE_RAW]],2)),0)&gt;0,"Invalid Domain Extension",
 IF(IFERROR(SEARCH("@",DB_TBL_DATA_FIELDS[[#This Row],[FIELD_VALUE_RAW]]),0)=0,"Missing '@' In Address",
  IF(IFERROR(SEARCH(".",DB_TBL_DATA_FIELDS[[#This Row],[FIELD_VALUE_RAW]],(SEARCH("@",DB_TBL_DATA_FIELDS[[#This Row],[FIELD_VALUE_RAW]],1))+2),0)=0,"Invalid Domain Name","Invalid Email Address")))),"")</f>
        <v/>
      </c>
      <c r="AA36" s="11" t="s">
        <v>2432</v>
      </c>
      <c r="AB36" s="10" t="s">
        <v>2408</v>
      </c>
      <c r="AC36" s="8"/>
    </row>
    <row r="37" spans="1:29" ht="13.5" thickBot="1" x14ac:dyDescent="0.25">
      <c r="A37" s="67" t="s">
        <v>65</v>
      </c>
      <c r="B37" s="67" t="s">
        <v>64</v>
      </c>
      <c r="C37" s="69" t="str">
        <f ca="1">IF($H$10&lt;&gt;"R",IF(DB_TBL_DATA_FIELDS[[#This Row],[SHEET_REF_OWNER]]&lt;&gt;"",DB_TBL_DATA_FIELDS[[#This Row],[SHEET_REF_OWNER]],""),IF(DB_TBL_DATA_FIELDS[[#This Row],[SHEET_REF_RENTAL]]&lt;&gt;"",DB_TBL_DATA_FIELDS[[#This Row],[SHEET_REF_RENTAL]],""))</f>
        <v>RentalApp</v>
      </c>
      <c r="D37" s="67" t="s">
        <v>194</v>
      </c>
      <c r="E37" s="67" t="b">
        <v>0</v>
      </c>
      <c r="F37" s="77" t="b">
        <v>1</v>
      </c>
      <c r="G37" s="79" t="s">
        <v>187</v>
      </c>
      <c r="H37" s="73" t="str">
        <f ca="1">IFERROR(VLOOKUP(DB_TBL_DATA_FIELDS[[#This Row],[FIELD_ID]],INDIRECT(DB_TBL_DATA_FIELDS[[#This Row],[SHEET_REF_CALC]]&amp;"!A:B"),2,FALSE),"")</f>
        <v/>
      </c>
      <c r="I37" s="73"/>
      <c r="J37" s="72" t="b">
        <f ca="1">(DB_TBL_DATA_FIELDS[[#This Row],[FIELD_VALUE_RAW]]="")</f>
        <v>1</v>
      </c>
      <c r="K37" s="79" t="s">
        <v>11</v>
      </c>
      <c r="L37" s="68" t="b">
        <f ca="1">AND(IF(DB_TBL_DATA_FIELDS[[#This Row],[FIELD_VALID_CUSTOM_LOGIC]]="",TRUE,DB_TBL_DATA_FIELDS[[#This Row],[FIELD_VALID_CUSTOM_LOGIC]]),DB_TBL_DATA_FIELDS[[#This Row],[RANGE_VALIDATION_PASSED_FLAG]])</f>
        <v>1</v>
      </c>
      <c r="M37" s="7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7" s="68">
        <f ca="1">IF(DB_TBL_DATA_FIELDS[[#This Row],[SHEET_REF_CALC]]="","",IF(DB_TBL_DATA_FIELDS[[#This Row],[FIELD_EMPTY_FLAG]],IF(NOT(DB_TBL_DATA_FIELDS[[#This Row],[FIELD_REQ_FLAG]]),-1,1),IF(NOT(DB_TBL_DATA_FIELDS[[#This Row],[FIELD_VALID_FLAG]]),0,2)))</f>
        <v>1</v>
      </c>
      <c r="O37" s="68" t="str">
        <f ca="1">IFERROR(VLOOKUP(DB_TBL_DATA_FIELDS[[#This Row],[FIELD_STATUS_CODE]],DB_TBL_CONFIG_FIELDSTATUSCODES[#All],3,FALSE),"")</f>
        <v>Required</v>
      </c>
      <c r="P37" s="68" t="str">
        <f ca="1">IFERROR(VLOOKUP(DB_TBL_DATA_FIELDS[[#This Row],[FIELD_STATUS_CODE]],DB_TBL_CONFIG_FIELDSTATUSCODES[#All],4,FALSE),"")</f>
        <v>i</v>
      </c>
      <c r="Q37" s="68" t="b">
        <f>TRUE</f>
        <v>1</v>
      </c>
      <c r="R37" s="68" t="b">
        <f>TRUE</f>
        <v>1</v>
      </c>
      <c r="S37" s="75" t="s">
        <v>11</v>
      </c>
      <c r="T37" s="68">
        <f ca="1">IF(DB_TBL_DATA_FIELDS[[#This Row],[RANGE_VALIDATION_FLAG]]="Text",LEN(DB_TBL_DATA_FIELDS[[#This Row],[FIELD_VALUE_RAW]]),IFERROR(VALUE(DB_TBL_DATA_FIELDS[[#This Row],[FIELD_VALUE_RAW]]),-1))</f>
        <v>0</v>
      </c>
      <c r="U37" s="69">
        <v>0</v>
      </c>
      <c r="V37" s="88">
        <v>150</v>
      </c>
      <c r="W37" s="68" t="b">
        <f ca="1">IF(NOT(DB_TBL_DATA_FIELDS[[#This Row],[RANGE_VALIDATION_ON_FLAG]]),TRUE,
AND(DB_TBL_DATA_FIELDS[[#This Row],[RANGE_VALUE_LEN]]&gt;=DB_TBL_DATA_FIELDS[[#This Row],[RANGE_VALIDATION_MIN]],DB_TBL_DATA_FIELDS[[#This Row],[RANGE_VALUE_LEN]]&lt;=DB_TBL_DATA_FIELDS[[#This Row],[RANGE_VALIDATION_MAX]]))</f>
        <v>1</v>
      </c>
      <c r="X37" s="69">
        <v>1</v>
      </c>
      <c r="Y37" s="69">
        <f ca="1">IF(DB_TBL_DATA_FIELDS[[#This Row],[PCT_CALC_SHOW_STATUS_CODE]]=1,
DB_TBL_DATA_FIELDS[[#This Row],[FIELD_STATUS_CODE]],
IF(AND(DB_TBL_DATA_FIELDS[[#This Row],[PCT_CALC_SHOW_STATUS_CODE]]=2,DB_TBL_DATA_FIELDS[[#This Row],[FIELD_STATUS_CODE]]=0),
DB_TBL_DATA_FIELDS[[#This Row],[FIELD_STATUS_CODE]],
"")
)</f>
        <v>1</v>
      </c>
      <c r="Z37" s="69"/>
      <c r="AA37" s="73" t="s">
        <v>2433</v>
      </c>
      <c r="AB37" s="73" t="s">
        <v>2408</v>
      </c>
      <c r="AC37" s="68"/>
    </row>
    <row r="38" spans="1:29" x14ac:dyDescent="0.2">
      <c r="A38" s="4" t="s">
        <v>65</v>
      </c>
      <c r="B38" s="4" t="s">
        <v>64</v>
      </c>
      <c r="C38" s="16" t="str">
        <f ca="1">IF($H$10&lt;&gt;"R",IF(DB_TBL_DATA_FIELDS[[#This Row],[SHEET_REF_OWNER]]&lt;&gt;"",DB_TBL_DATA_FIELDS[[#This Row],[SHEET_REF_OWNER]],""),IF(DB_TBL_DATA_FIELDS[[#This Row],[SHEET_REF_RENTAL]]&lt;&gt;"",DB_TBL_DATA_FIELDS[[#This Row],[SHEET_REF_RENTAL]],""))</f>
        <v>RentalApp</v>
      </c>
      <c r="D38" s="4" t="s">
        <v>212</v>
      </c>
      <c r="E38" s="4" t="b">
        <v>1</v>
      </c>
      <c r="F38" s="41" t="b">
        <f ca="1">IF(IFERROR(VALUE(M42),0)&gt;0,FALSE,TRUE)</f>
        <v>1</v>
      </c>
      <c r="G38" s="6" t="s">
        <v>213</v>
      </c>
      <c r="H38" s="29" t="str">
        <f ca="1">IFERROR(ROUND(VLOOKUP(DB_TBL_DATA_FIELDS[[#This Row],[FIELD_ID]],INDIRECT(DB_TBL_DATA_FIELDS[[#This Row],[SHEET_REF_CALC]]&amp;"!A:B"),2,FALSE),0),"")</f>
        <v/>
      </c>
      <c r="I38" s="29" t="str">
        <f ca="1">IF(DB_TBL_DATA_FIELDS[[#This Row],[FIELD_VALUE_RAW]]="","",
(DB_TBL_DATA_FIELDS[[#This Row],[FIELD_VALUE_RAW]])&lt;=CONFIG_SUBSIDY_MAX_TOTAL)</f>
        <v/>
      </c>
      <c r="J38" s="6" t="b">
        <f ca="1">(DB_TBL_DATA_FIELDS[[#This Row],[FIELD_VALUE_RAW]]="")</f>
        <v>1</v>
      </c>
      <c r="K38" s="6" t="s">
        <v>62</v>
      </c>
      <c r="L38" s="8" t="b">
        <f ca="1">AND(IF(DB_TBL_DATA_FIELDS[[#This Row],[FIELD_VALID_CUSTOM_LOGIC]]="",TRUE,DB_TBL_DATA_FIELDS[[#This Row],[FIELD_VALID_CUSTOM_LOGIC]]),DB_TBL_DATA_FIELDS[[#This Row],[RANGE_VALIDATION_PASSED_FLAG]])</f>
        <v>0</v>
      </c>
      <c r="M38"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8" s="8">
        <f ca="1">IF(DB_TBL_DATA_FIELDS[[#This Row],[SHEET_REF_CALC]]="","",IF(DB_TBL_DATA_FIELDS[[#This Row],[FIELD_EMPTY_FLAG]],IF(NOT(DB_TBL_DATA_FIELDS[[#This Row],[FIELD_REQ_FLAG]]),-1,1),IF(NOT(DB_TBL_DATA_FIELDS[[#This Row],[FIELD_VALID_FLAG]]),0,2)))</f>
        <v>1</v>
      </c>
      <c r="O38" s="8" t="str">
        <f ca="1">IFERROR(VLOOKUP(DB_TBL_DATA_FIELDS[[#This Row],[FIELD_STATUS_CODE]],DB_TBL_CONFIG_FIELDSTATUSCODES[#All],3,FALSE),"")</f>
        <v>Required</v>
      </c>
      <c r="P38" s="8" t="str">
        <f ca="1">IFERROR(VLOOKUP(DB_TBL_DATA_FIELDS[[#This Row],[FIELD_STATUS_CODE]],DB_TBL_CONFIG_FIELDSTATUSCODES[#All],4,FALSE),"")</f>
        <v>i</v>
      </c>
      <c r="Q38" s="8" t="b">
        <f>TRUE</f>
        <v>1</v>
      </c>
      <c r="R38" s="8" t="b">
        <v>1</v>
      </c>
      <c r="S38" s="4" t="s">
        <v>62</v>
      </c>
      <c r="T38" s="8">
        <f ca="1">IF(DB_TBL_DATA_FIELDS[[#This Row],[RANGE_VALIDATION_FLAG]]="Text",LEN(DB_TBL_DATA_FIELDS[[#This Row],[FIELD_VALUE_RAW]]),IFERROR(VALUE(DB_TBL_DATA_FIELDS[[#This Row],[FIELD_VALUE_RAW]]),-1))</f>
        <v>-1</v>
      </c>
      <c r="U38" s="8">
        <v>1</v>
      </c>
      <c r="V38" s="51">
        <f>CONFIG_SUBSIDY_MAX_TOTAL</f>
        <v>1250000</v>
      </c>
      <c r="W38" s="8" t="b">
        <f ca="1">IF(NOT(DB_TBL_DATA_FIELDS[[#This Row],[RANGE_VALIDATION_ON_FLAG]]),TRUE,
AND(DB_TBL_DATA_FIELDS[[#This Row],[RANGE_VALUE_LEN]]&gt;=DB_TBL_DATA_FIELDS[[#This Row],[RANGE_VALIDATION_MIN]],DB_TBL_DATA_FIELDS[[#This Row],[RANGE_VALUE_LEN]]&lt;=DB_TBL_DATA_FIELDS[[#This Row],[RANGE_VALIDATION_MAX]]))</f>
        <v>0</v>
      </c>
      <c r="X38" s="16">
        <v>1</v>
      </c>
      <c r="Y38" s="16">
        <f ca="1">IF(DB_TBL_DATA_FIELDS[[#This Row],[PCT_CALC_SHOW_STATUS_CODE]]=1,
DB_TBL_DATA_FIELDS[[#This Row],[FIELD_STATUS_CODE]],
IF(AND(DB_TBL_DATA_FIELDS[[#This Row],[PCT_CALC_SHOW_STATUS_CODE]]=2,DB_TBL_DATA_FIELDS[[#This Row],[FIELD_STATUS_CODE]]=0),
DB_TBL_DATA_FIELDS[[#This Row],[FIELD_STATUS_CODE]],
"")
)</f>
        <v>1</v>
      </c>
      <c r="Z38" s="103" t="str">
        <f ca="1">IF(DB_TBL_DATA_FIELDS[[#This Row],[FIELD_STATUS_CODE]]=0,IF(NOT(DB_TBL_DATA_FIELDS[[#This Row],[FIELD_VALID_CUSTOM_LOGIC]]),
"Exceeds Subsidy Cap",""),"")</f>
        <v/>
      </c>
      <c r="AA38" s="11" t="s">
        <v>2441</v>
      </c>
      <c r="AB38" s="11" t="s">
        <v>2442</v>
      </c>
      <c r="AC38" s="34"/>
    </row>
    <row r="39" spans="1:29" x14ac:dyDescent="0.2">
      <c r="A39" s="4" t="s">
        <v>65</v>
      </c>
      <c r="B39" s="4" t="s">
        <v>64</v>
      </c>
      <c r="C39" s="16" t="str">
        <f ca="1">IF($H$10&lt;&gt;"R",IF(DB_TBL_DATA_FIELDS[[#This Row],[SHEET_REF_OWNER]]&lt;&gt;"",DB_TBL_DATA_FIELDS[[#This Row],[SHEET_REF_OWNER]],""),IF(DB_TBL_DATA_FIELDS[[#This Row],[SHEET_REF_RENTAL]]&lt;&gt;"",DB_TBL_DATA_FIELDS[[#This Row],[SHEET_REF_RENTAL]],""))</f>
        <v>RentalApp</v>
      </c>
      <c r="D39" s="4" t="s">
        <v>2437</v>
      </c>
      <c r="E39" s="4" t="b">
        <v>0</v>
      </c>
      <c r="F39" s="45" t="b">
        <v>1</v>
      </c>
      <c r="G39" s="6" t="s">
        <v>2443</v>
      </c>
      <c r="H39" s="29" t="str">
        <f ca="1">IFERROR(ROUND(VLOOKUP(DB_TBL_DATA_FIELDS[[#This Row],[FIELD_ID]],INDIRECT(DB_TBL_DATA_FIELDS[[#This Row],[SHEET_REF_CALC]]&amp;"!A:B"),2,FALSE),0),"")</f>
        <v/>
      </c>
      <c r="I39" s="33"/>
      <c r="J39" s="6" t="b">
        <f ca="1">(DB_TBL_DATA_FIELDS[[#This Row],[FIELD_VALUE_RAW]]="")</f>
        <v>1</v>
      </c>
      <c r="K39" s="6" t="s">
        <v>62</v>
      </c>
      <c r="L39" s="8" t="b">
        <f ca="1">AND(IF(DB_TBL_DATA_FIELDS[[#This Row],[FIELD_VALID_CUSTOM_LOGIC]]="",TRUE,DB_TBL_DATA_FIELDS[[#This Row],[FIELD_VALID_CUSTOM_LOGIC]]),DB_TBL_DATA_FIELDS[[#This Row],[RANGE_VALIDATION_PASSED_FLAG]])</f>
        <v>0</v>
      </c>
      <c r="M39"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9" s="8">
        <f ca="1">IF(DB_TBL_DATA_FIELDS[[#This Row],[SHEET_REF_CALC]]="","",IF(DB_TBL_DATA_FIELDS[[#This Row],[FIELD_EMPTY_FLAG]],IF(NOT(DB_TBL_DATA_FIELDS[[#This Row],[FIELD_REQ_FLAG]]),-1,1),IF(NOT(DB_TBL_DATA_FIELDS[[#This Row],[FIELD_VALID_FLAG]]),0,2)))</f>
        <v>1</v>
      </c>
      <c r="O39" s="8" t="str">
        <f ca="1">IFERROR(VLOOKUP(DB_TBL_DATA_FIELDS[[#This Row],[FIELD_STATUS_CODE]],DB_TBL_CONFIG_FIELDSTATUSCODES[#All],3,FALSE),"")</f>
        <v>Required</v>
      </c>
      <c r="P39" s="8" t="str">
        <f ca="1">IFERROR(VLOOKUP(DB_TBL_DATA_FIELDS[[#This Row],[FIELD_STATUS_CODE]],DB_TBL_CONFIG_FIELDSTATUSCODES[#All],4,FALSE),"")</f>
        <v>i</v>
      </c>
      <c r="Q39" s="8" t="b">
        <f>TRUE</f>
        <v>1</v>
      </c>
      <c r="R39" s="8" t="b">
        <f>TRUE</f>
        <v>1</v>
      </c>
      <c r="S39" s="4" t="s">
        <v>62</v>
      </c>
      <c r="T39" s="8">
        <f ca="1">IF(DB_TBL_DATA_FIELDS[[#This Row],[RANGE_VALIDATION_FLAG]]="Text",LEN(DB_TBL_DATA_FIELDS[[#This Row],[FIELD_VALUE_RAW]]),IFERROR(VALUE(DB_TBL_DATA_FIELDS[[#This Row],[FIELD_VALUE_RAW]]),-1))</f>
        <v>-1</v>
      </c>
      <c r="U39" s="8">
        <v>0</v>
      </c>
      <c r="V39" s="8">
        <v>999999999999</v>
      </c>
      <c r="W39" s="8" t="b">
        <f ca="1">IF(NOT(DB_TBL_DATA_FIELDS[[#This Row],[RANGE_VALIDATION_ON_FLAG]]),TRUE,
AND(DB_TBL_DATA_FIELDS[[#This Row],[RANGE_VALUE_LEN]]&gt;=DB_TBL_DATA_FIELDS[[#This Row],[RANGE_VALIDATION_MIN]],DB_TBL_DATA_FIELDS[[#This Row],[RANGE_VALUE_LEN]]&lt;=DB_TBL_DATA_FIELDS[[#This Row],[RANGE_VALIDATION_MAX]]))</f>
        <v>0</v>
      </c>
      <c r="X39" s="7">
        <v>1</v>
      </c>
      <c r="Y39" s="7">
        <f ca="1">IF(DB_TBL_DATA_FIELDS[[#This Row],[PCT_CALC_SHOW_STATUS_CODE]]=1,
DB_TBL_DATA_FIELDS[[#This Row],[FIELD_STATUS_CODE]],
IF(AND(DB_TBL_DATA_FIELDS[[#This Row],[PCT_CALC_SHOW_STATUS_CODE]]=2,DB_TBL_DATA_FIELDS[[#This Row],[FIELD_STATUS_CODE]]=0),
DB_TBL_DATA_FIELDS[[#This Row],[FIELD_STATUS_CODE]],
"")
)</f>
        <v>1</v>
      </c>
      <c r="Z39" s="7"/>
      <c r="AA39" s="11" t="s">
        <v>2444</v>
      </c>
      <c r="AB39" s="11" t="s">
        <v>2442</v>
      </c>
      <c r="AC39" s="8"/>
    </row>
    <row r="40" spans="1:29" x14ac:dyDescent="0.2">
      <c r="A40" s="4" t="s">
        <v>65</v>
      </c>
      <c r="B40" s="4" t="s">
        <v>64</v>
      </c>
      <c r="C40" s="16" t="str">
        <f ca="1">IF($H$10&lt;&gt;"R",IF(DB_TBL_DATA_FIELDS[[#This Row],[SHEET_REF_OWNER]]&lt;&gt;"",DB_TBL_DATA_FIELDS[[#This Row],[SHEET_REF_OWNER]],""),IF(DB_TBL_DATA_FIELDS[[#This Row],[SHEET_REF_RENTAL]]&lt;&gt;"",DB_TBL_DATA_FIELDS[[#This Row],[SHEET_REF_RENTAL]],""))</f>
        <v>RentalApp</v>
      </c>
      <c r="D40" s="4" t="s">
        <v>2436</v>
      </c>
      <c r="E40" s="4" t="b">
        <v>0</v>
      </c>
      <c r="F40" s="41" t="b">
        <f ca="1">AND(M39&gt;0,NOT(J39))</f>
        <v>0</v>
      </c>
      <c r="G40" s="6" t="s">
        <v>2439</v>
      </c>
      <c r="H40" s="11" t="str">
        <f ca="1">IFERROR(VLOOKUP(DB_TBL_DATA_FIELDS[[#This Row],[FIELD_ID]],INDIRECT(DB_TBL_DATA_FIELDS[[#This Row],[SHEET_REF_CALC]]&amp;"!A:B"),2,FALSE),"")</f>
        <v/>
      </c>
      <c r="I40" s="29" t="str">
        <f ca="1">IF(DB_TBL_DATA_FIELDS[[#This Row],[FIELD_EMPTY_FLAG]],"",AND(NOT(J39),M39&gt;0))</f>
        <v/>
      </c>
      <c r="J40" s="6" t="b">
        <f ca="1">(DB_TBL_DATA_FIELDS[[#This Row],[FIELD_VALUE_RAW]]="")</f>
        <v>1</v>
      </c>
      <c r="K40" s="6" t="s">
        <v>11</v>
      </c>
      <c r="L40" s="8" t="b">
        <f ca="1">AND(IF(DB_TBL_DATA_FIELDS[[#This Row],[FIELD_VALID_CUSTOM_LOGIC]]="",TRUE,DB_TBL_DATA_FIELDS[[#This Row],[FIELD_VALID_CUSTOM_LOGIC]]),DB_TBL_DATA_FIELDS[[#This Row],[RANGE_VALIDATION_PASSED_FLAG]])</f>
        <v>1</v>
      </c>
      <c r="M40"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0" s="8">
        <f ca="1">IF(DB_TBL_DATA_FIELDS[[#This Row],[SHEET_REF_CALC]]="","",IF(DB_TBL_DATA_FIELDS[[#This Row],[FIELD_EMPTY_FLAG]],IF(NOT(DB_TBL_DATA_FIELDS[[#This Row],[FIELD_REQ_FLAG]]),-1,1),IF(NOT(DB_TBL_DATA_FIELDS[[#This Row],[FIELD_VALID_FLAG]]),0,2)))</f>
        <v>-1</v>
      </c>
      <c r="O40" s="8" t="str">
        <f ca="1">IFERROR(VLOOKUP(DB_TBL_DATA_FIELDS[[#This Row],[FIELD_STATUS_CODE]],DB_TBL_CONFIG_FIELDSTATUSCODES[#All],3,FALSE),"")</f>
        <v>Optional</v>
      </c>
      <c r="P40" s="8" t="str">
        <f ca="1">IFERROR(VLOOKUP(DB_TBL_DATA_FIELDS[[#This Row],[FIELD_STATUS_CODE]],DB_TBL_CONFIG_FIELDSTATUSCODES[#All],4,FALSE),"")</f>
        <v xml:space="preserve"> </v>
      </c>
      <c r="Q40" s="8" t="b">
        <f>TRUE</f>
        <v>1</v>
      </c>
      <c r="R40" s="8" t="b">
        <f>TRUE</f>
        <v>1</v>
      </c>
      <c r="S40" s="4" t="s">
        <v>11</v>
      </c>
      <c r="T40" s="8">
        <f ca="1">IF(DB_TBL_DATA_FIELDS[[#This Row],[RANGE_VALIDATION_FLAG]]="Text",LEN(DB_TBL_DATA_FIELDS[[#This Row],[FIELD_VALUE_RAW]]),IFERROR(VALUE(DB_TBL_DATA_FIELDS[[#This Row],[FIELD_VALUE_RAW]]),-1))</f>
        <v>0</v>
      </c>
      <c r="U40" s="8">
        <v>0</v>
      </c>
      <c r="V40" s="34">
        <v>100</v>
      </c>
      <c r="W40" s="8" t="b">
        <f ca="1">IF(NOT(DB_TBL_DATA_FIELDS[[#This Row],[RANGE_VALIDATION_ON_FLAG]]),TRUE,
AND(DB_TBL_DATA_FIELDS[[#This Row],[RANGE_VALUE_LEN]]&gt;=DB_TBL_DATA_FIELDS[[#This Row],[RANGE_VALIDATION_MIN]],DB_TBL_DATA_FIELDS[[#This Row],[RANGE_VALUE_LEN]]&lt;=DB_TBL_DATA_FIELDS[[#This Row],[RANGE_VALIDATION_MAX]]))</f>
        <v>1</v>
      </c>
      <c r="X40" s="7">
        <v>1</v>
      </c>
      <c r="Y40" s="7">
        <f ca="1">IF(DB_TBL_DATA_FIELDS[[#This Row],[PCT_CALC_SHOW_STATUS_CODE]]=1,
DB_TBL_DATA_FIELDS[[#This Row],[FIELD_STATUS_CODE]],
IF(AND(DB_TBL_DATA_FIELDS[[#This Row],[PCT_CALC_SHOW_STATUS_CODE]]=2,DB_TBL_DATA_FIELDS[[#This Row],[FIELD_STATUS_CODE]]=0),
DB_TBL_DATA_FIELDS[[#This Row],[FIELD_STATUS_CODE]],
"")
)</f>
        <v>-1</v>
      </c>
      <c r="Z40" s="7"/>
      <c r="AA40" s="11" t="s">
        <v>2445</v>
      </c>
      <c r="AB40" s="11" t="s">
        <v>2442</v>
      </c>
      <c r="AC40" s="8"/>
    </row>
    <row r="41" spans="1:29" x14ac:dyDescent="0.2">
      <c r="A41" s="4" t="s">
        <v>65</v>
      </c>
      <c r="B41" s="4" t="s">
        <v>64</v>
      </c>
      <c r="C41" s="16" t="str">
        <f ca="1">IF($H$10&lt;&gt;"R",IF(DB_TBL_DATA_FIELDS[[#This Row],[SHEET_REF_OWNER]]&lt;&gt;"",DB_TBL_DATA_FIELDS[[#This Row],[SHEET_REF_OWNER]],""),IF(DB_TBL_DATA_FIELDS[[#This Row],[SHEET_REF_RENTAL]]&lt;&gt;"",DB_TBL_DATA_FIELDS[[#This Row],[SHEET_REF_RENTAL]],""))</f>
        <v>RentalApp</v>
      </c>
      <c r="D41" s="4" t="s">
        <v>2438</v>
      </c>
      <c r="E41" s="4" t="b">
        <v>0</v>
      </c>
      <c r="F41" s="41" t="b">
        <f ca="1">AND(M39&gt;0,NOT(J39))</f>
        <v>0</v>
      </c>
      <c r="G41" s="6" t="s">
        <v>2440</v>
      </c>
      <c r="H41" s="11" t="str">
        <f ca="1">IFERROR(VLOOKUP(DB_TBL_DATA_FIELDS[[#This Row],[FIELD_ID]],INDIRECT(DB_TBL_DATA_FIELDS[[#This Row],[SHEET_REF_CALC]]&amp;"!A:B"),2,FALSE),"")</f>
        <v/>
      </c>
      <c r="I41" s="29" t="str">
        <f ca="1">IF(DB_TBL_DATA_FIELDS[[#This Row],[FIELD_EMPTY_FLAG]],"",AND(NOT(J39),M39&gt;0))</f>
        <v/>
      </c>
      <c r="J41" s="6" t="b">
        <f ca="1">(DB_TBL_DATA_FIELDS[[#This Row],[FIELD_VALUE_RAW]]="")</f>
        <v>1</v>
      </c>
      <c r="K41" s="6" t="s">
        <v>11</v>
      </c>
      <c r="L41" s="8" t="b">
        <f ca="1">AND(IF(DB_TBL_DATA_FIELDS[[#This Row],[FIELD_VALID_CUSTOM_LOGIC]]="",TRUE,DB_TBL_DATA_FIELDS[[#This Row],[FIELD_VALID_CUSTOM_LOGIC]]),DB_TBL_DATA_FIELDS[[#This Row],[RANGE_VALIDATION_PASSED_FLAG]])</f>
        <v>1</v>
      </c>
      <c r="M41"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1" s="8">
        <f ca="1">IF(DB_TBL_DATA_FIELDS[[#This Row],[SHEET_REF_CALC]]="","",IF(DB_TBL_DATA_FIELDS[[#This Row],[FIELD_EMPTY_FLAG]],IF(NOT(DB_TBL_DATA_FIELDS[[#This Row],[FIELD_REQ_FLAG]]),-1,1),IF(NOT(DB_TBL_DATA_FIELDS[[#This Row],[FIELD_VALID_FLAG]]),0,2)))</f>
        <v>-1</v>
      </c>
      <c r="O41" s="8" t="str">
        <f ca="1">IFERROR(VLOOKUP(DB_TBL_DATA_FIELDS[[#This Row],[FIELD_STATUS_CODE]],DB_TBL_CONFIG_FIELDSTATUSCODES[#All],3,FALSE),"")</f>
        <v>Optional</v>
      </c>
      <c r="P41" s="8" t="str">
        <f ca="1">IFERROR(VLOOKUP(DB_TBL_DATA_FIELDS[[#This Row],[FIELD_STATUS_CODE]],DB_TBL_CONFIG_FIELDSTATUSCODES[#All],4,FALSE),"")</f>
        <v xml:space="preserve"> </v>
      </c>
      <c r="Q41" s="8" t="b">
        <f>TRUE</f>
        <v>1</v>
      </c>
      <c r="R41" s="8" t="b">
        <f>TRUE</f>
        <v>1</v>
      </c>
      <c r="S41" s="4" t="s">
        <v>11</v>
      </c>
      <c r="T41" s="8">
        <f ca="1">IF(DB_TBL_DATA_FIELDS[[#This Row],[RANGE_VALIDATION_FLAG]]="Text",LEN(DB_TBL_DATA_FIELDS[[#This Row],[FIELD_VALUE_RAW]]),IFERROR(VALUE(DB_TBL_DATA_FIELDS[[#This Row],[FIELD_VALUE_RAW]]),-1))</f>
        <v>0</v>
      </c>
      <c r="U41" s="8">
        <v>0</v>
      </c>
      <c r="V41" s="34">
        <v>100</v>
      </c>
      <c r="W41" s="8" t="b">
        <f ca="1">IF(NOT(DB_TBL_DATA_FIELDS[[#This Row],[RANGE_VALIDATION_ON_FLAG]]),TRUE,
AND(DB_TBL_DATA_FIELDS[[#This Row],[RANGE_VALUE_LEN]]&gt;=DB_TBL_DATA_FIELDS[[#This Row],[RANGE_VALIDATION_MIN]],DB_TBL_DATA_FIELDS[[#This Row],[RANGE_VALUE_LEN]]&lt;=DB_TBL_DATA_FIELDS[[#This Row],[RANGE_VALIDATION_MAX]]))</f>
        <v>1</v>
      </c>
      <c r="X41" s="7">
        <v>1</v>
      </c>
      <c r="Y41" s="7">
        <f ca="1">IF(DB_TBL_DATA_FIELDS[[#This Row],[PCT_CALC_SHOW_STATUS_CODE]]=1,
DB_TBL_DATA_FIELDS[[#This Row],[FIELD_STATUS_CODE]],
IF(AND(DB_TBL_DATA_FIELDS[[#This Row],[PCT_CALC_SHOW_STATUS_CODE]]=2,DB_TBL_DATA_FIELDS[[#This Row],[FIELD_STATUS_CODE]]=0),
DB_TBL_DATA_FIELDS[[#This Row],[FIELD_STATUS_CODE]],
"")
)</f>
        <v>-1</v>
      </c>
      <c r="Z41" s="7"/>
      <c r="AA41" s="11" t="s">
        <v>2446</v>
      </c>
      <c r="AB41" s="11" t="s">
        <v>2442</v>
      </c>
      <c r="AC41" s="8"/>
    </row>
    <row r="42" spans="1:29" x14ac:dyDescent="0.2">
      <c r="A42" s="4" t="s">
        <v>65</v>
      </c>
      <c r="B42" s="4" t="s">
        <v>64</v>
      </c>
      <c r="C42" s="16" t="str">
        <f ca="1">IF($H$10&lt;&gt;"R",IF(DB_TBL_DATA_FIELDS[[#This Row],[SHEET_REF_OWNER]]&lt;&gt;"",DB_TBL_DATA_FIELDS[[#This Row],[SHEET_REF_OWNER]],""),IF(DB_TBL_DATA_FIELDS[[#This Row],[SHEET_REF_RENTAL]]&lt;&gt;"",DB_TBL_DATA_FIELDS[[#This Row],[SHEET_REF_RENTAL]],""))</f>
        <v>RentalApp</v>
      </c>
      <c r="D42" s="4" t="s">
        <v>214</v>
      </c>
      <c r="E42" s="4" t="b">
        <v>0</v>
      </c>
      <c r="F42" s="41" t="b">
        <f ca="1">OR(NOT(F38),H38="")</f>
        <v>1</v>
      </c>
      <c r="G42" s="6" t="s">
        <v>2447</v>
      </c>
      <c r="H42" s="29" t="str">
        <f ca="1">IFERROR(ROUND(VLOOKUP(DB_TBL_DATA_FIELDS[[#This Row],[FIELD_ID]],INDIRECT(DB_TBL_DATA_FIELDS[[#This Row],[SHEET_REF_CALC]]&amp;"!A:B"),2,FALSE),0),"")</f>
        <v/>
      </c>
      <c r="I42" s="29" t="str">
        <f ca="1">IF(DB_TBL_DATA_FIELDS[[#This Row],[FIELD_EMPTY_FLAG]],"",J38)</f>
        <v/>
      </c>
      <c r="J42" s="6" t="b">
        <f ca="1">(DB_TBL_DATA_FIELDS[[#This Row],[FIELD_VALUE_RAW]]="")</f>
        <v>1</v>
      </c>
      <c r="K42" s="6" t="s">
        <v>62</v>
      </c>
      <c r="L42" s="8" t="b">
        <f ca="1">AND(IF(DB_TBL_DATA_FIELDS[[#This Row],[FIELD_VALID_CUSTOM_LOGIC]]="",TRUE,DB_TBL_DATA_FIELDS[[#This Row],[FIELD_VALID_CUSTOM_LOGIC]]),DB_TBL_DATA_FIELDS[[#This Row],[RANGE_VALIDATION_PASSED_FLAG]])</f>
        <v>0</v>
      </c>
      <c r="M42"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2" s="8">
        <f ca="1">IF(DB_TBL_DATA_FIELDS[[#This Row],[SHEET_REF_CALC]]="","",IF(DB_TBL_DATA_FIELDS[[#This Row],[FIELD_EMPTY_FLAG]],IF(NOT(DB_TBL_DATA_FIELDS[[#This Row],[FIELD_REQ_FLAG]]),-1,1),IF(NOT(DB_TBL_DATA_FIELDS[[#This Row],[FIELD_VALID_FLAG]]),0,2)))</f>
        <v>1</v>
      </c>
      <c r="O42" s="8" t="str">
        <f ca="1">IFERROR(VLOOKUP(DB_TBL_DATA_FIELDS[[#This Row],[FIELD_STATUS_CODE]],DB_TBL_CONFIG_FIELDSTATUSCODES[#All],3,FALSE),"")</f>
        <v>Required</v>
      </c>
      <c r="P42" s="8" t="str">
        <f ca="1">IFERROR(VLOOKUP(DB_TBL_DATA_FIELDS[[#This Row],[FIELD_STATUS_CODE]],DB_TBL_CONFIG_FIELDSTATUSCODES[#All],4,FALSE),"")</f>
        <v>i</v>
      </c>
      <c r="Q42" s="8" t="b">
        <f>TRUE</f>
        <v>1</v>
      </c>
      <c r="R42" s="8" t="b">
        <v>1</v>
      </c>
      <c r="S42" s="4" t="s">
        <v>62</v>
      </c>
      <c r="T42" s="8">
        <f ca="1">IF(DB_TBL_DATA_FIELDS[[#This Row],[RANGE_VALIDATION_FLAG]]="Text",LEN(DB_TBL_DATA_FIELDS[[#This Row],[FIELD_VALUE_RAW]]),IFERROR(VALUE(DB_TBL_DATA_FIELDS[[#This Row],[FIELD_VALUE_RAW]]),-1))</f>
        <v>-1</v>
      </c>
      <c r="U42" s="8">
        <v>1</v>
      </c>
      <c r="V42" s="8">
        <v>999999999999</v>
      </c>
      <c r="W42" s="8" t="b">
        <f ca="1">IF(NOT(DB_TBL_DATA_FIELDS[[#This Row],[RANGE_VALIDATION_ON_FLAG]]),TRUE,
AND(DB_TBL_DATA_FIELDS[[#This Row],[RANGE_VALUE_LEN]]&gt;=DB_TBL_DATA_FIELDS[[#This Row],[RANGE_VALIDATION_MIN]],DB_TBL_DATA_FIELDS[[#This Row],[RANGE_VALUE_LEN]]&lt;=DB_TBL_DATA_FIELDS[[#This Row],[RANGE_VALIDATION_MAX]]))</f>
        <v>0</v>
      </c>
      <c r="X42" s="16">
        <v>1</v>
      </c>
      <c r="Y42" s="16">
        <f ca="1">IF(DB_TBL_DATA_FIELDS[[#This Row],[PCT_CALC_SHOW_STATUS_CODE]]=1,
DB_TBL_DATA_FIELDS[[#This Row],[FIELD_STATUS_CODE]],
IF(AND(DB_TBL_DATA_FIELDS[[#This Row],[PCT_CALC_SHOW_STATUS_CODE]]=2,DB_TBL_DATA_FIELDS[[#This Row],[FIELD_STATUS_CODE]]=0),
DB_TBL_DATA_FIELDS[[#This Row],[FIELD_STATUS_CODE]],
"")
)</f>
        <v>1</v>
      </c>
      <c r="Z42" s="16"/>
      <c r="AA42" s="11" t="s">
        <v>2451</v>
      </c>
      <c r="AB42" s="11" t="s">
        <v>2442</v>
      </c>
      <c r="AC42" s="8"/>
    </row>
    <row r="43" spans="1:29" x14ac:dyDescent="0.2">
      <c r="A43" s="4" t="s">
        <v>65</v>
      </c>
      <c r="B43" s="4" t="s">
        <v>64</v>
      </c>
      <c r="C43" s="16" t="str">
        <f ca="1">IF($H$10&lt;&gt;"R",IF(DB_TBL_DATA_FIELDS[[#This Row],[SHEET_REF_OWNER]]&lt;&gt;"",DB_TBL_DATA_FIELDS[[#This Row],[SHEET_REF_OWNER]],""),IF(DB_TBL_DATA_FIELDS[[#This Row],[SHEET_REF_RENTAL]]&lt;&gt;"",DB_TBL_DATA_FIELDS[[#This Row],[SHEET_REF_RENTAL]],""))</f>
        <v>RentalApp</v>
      </c>
      <c r="D43" s="4" t="s">
        <v>2450</v>
      </c>
      <c r="E43" s="4" t="b">
        <v>0</v>
      </c>
      <c r="F43" s="42" t="b">
        <f ca="1">AND(F42,NOT(J42))</f>
        <v>0</v>
      </c>
      <c r="G43" s="6" t="s">
        <v>2449</v>
      </c>
      <c r="H43" s="11" t="str">
        <f ca="1">IFERROR(VLOOKUP(DB_TBL_DATA_FIELDS[[#This Row],[FIELD_ID]],INDIRECT(DB_TBL_DATA_FIELDS[[#This Row],[SHEET_REF_CALC]]&amp;"!A:B"),2,FALSE),"")</f>
        <v/>
      </c>
      <c r="I43" s="43" t="str">
        <f ca="1">IF(DB_TBL_DATA_FIELDS[[#This Row],[FIELD_EMPTY_FLAG]],"",AND(NOT(J42),J38))</f>
        <v/>
      </c>
      <c r="J43" s="6" t="b">
        <f ca="1">(DB_TBL_DATA_FIELDS[[#This Row],[FIELD_VALUE_RAW]]="")</f>
        <v>1</v>
      </c>
      <c r="K43" s="6" t="s">
        <v>62</v>
      </c>
      <c r="L43" s="8" t="b">
        <f ca="1">AND(IF(DB_TBL_DATA_FIELDS[[#This Row],[FIELD_VALID_CUSTOM_LOGIC]]="",TRUE,DB_TBL_DATA_FIELDS[[#This Row],[FIELD_VALID_CUSTOM_LOGIC]]),DB_TBL_DATA_FIELDS[[#This Row],[RANGE_VALIDATION_PASSED_FLAG]])</f>
        <v>1</v>
      </c>
      <c r="M43"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3" s="8">
        <f ca="1">IF(DB_TBL_DATA_FIELDS[[#This Row],[SHEET_REF_CALC]]="","",IF(DB_TBL_DATA_FIELDS[[#This Row],[FIELD_EMPTY_FLAG]],IF(NOT(DB_TBL_DATA_FIELDS[[#This Row],[FIELD_REQ_FLAG]]),-1,1),IF(NOT(DB_TBL_DATA_FIELDS[[#This Row],[FIELD_VALID_FLAG]]),0,2)))</f>
        <v>-1</v>
      </c>
      <c r="O43" s="8" t="str">
        <f ca="1">IFERROR(VLOOKUP(DB_TBL_DATA_FIELDS[[#This Row],[FIELD_STATUS_CODE]],DB_TBL_CONFIG_FIELDSTATUSCODES[#All],3,FALSE),"")</f>
        <v>Optional</v>
      </c>
      <c r="P43" s="8" t="str">
        <f ca="1">IFERROR(VLOOKUP(DB_TBL_DATA_FIELDS[[#This Row],[FIELD_STATUS_CODE]],DB_TBL_CONFIG_FIELDSTATUSCODES[#All],4,FALSE),"")</f>
        <v xml:space="preserve"> </v>
      </c>
      <c r="Q43" s="8" t="b">
        <f>TRUE</f>
        <v>1</v>
      </c>
      <c r="R43" s="8" t="b">
        <v>1</v>
      </c>
      <c r="S43" s="4" t="s">
        <v>11</v>
      </c>
      <c r="T43" s="8">
        <f ca="1">IF(DB_TBL_DATA_FIELDS[[#This Row],[RANGE_VALIDATION_FLAG]]="Text",LEN(DB_TBL_DATA_FIELDS[[#This Row],[FIELD_VALUE_RAW]]),IFERROR(VALUE(DB_TBL_DATA_FIELDS[[#This Row],[FIELD_VALUE_RAW]]),-1))</f>
        <v>0</v>
      </c>
      <c r="U43" s="8">
        <v>0</v>
      </c>
      <c r="V43" s="8">
        <v>999</v>
      </c>
      <c r="W43" s="8" t="b">
        <f ca="1">IF(NOT(DB_TBL_DATA_FIELDS[[#This Row],[RANGE_VALIDATION_ON_FLAG]]),TRUE,
AND(DB_TBL_DATA_FIELDS[[#This Row],[RANGE_VALUE_LEN]]&gt;=DB_TBL_DATA_FIELDS[[#This Row],[RANGE_VALIDATION_MIN]],DB_TBL_DATA_FIELDS[[#This Row],[RANGE_VALUE_LEN]]&lt;=DB_TBL_DATA_FIELDS[[#This Row],[RANGE_VALIDATION_MAX]]))</f>
        <v>1</v>
      </c>
      <c r="X43" s="16">
        <v>1</v>
      </c>
      <c r="Y43" s="16">
        <f ca="1">IF(DB_TBL_DATA_FIELDS[[#This Row],[PCT_CALC_SHOW_STATUS_CODE]]=1,
DB_TBL_DATA_FIELDS[[#This Row],[FIELD_STATUS_CODE]],
IF(AND(DB_TBL_DATA_FIELDS[[#This Row],[PCT_CALC_SHOW_STATUS_CODE]]=2,DB_TBL_DATA_FIELDS[[#This Row],[FIELD_STATUS_CODE]]=0),
DB_TBL_DATA_FIELDS[[#This Row],[FIELD_STATUS_CODE]],
"")
)</f>
        <v>-1</v>
      </c>
      <c r="Z43" s="16"/>
      <c r="AA43" s="11" t="s">
        <v>2452</v>
      </c>
      <c r="AB43" s="11" t="s">
        <v>2442</v>
      </c>
      <c r="AC43" s="8"/>
    </row>
    <row r="44" spans="1:29" x14ac:dyDescent="0.2">
      <c r="A44" s="19" t="s">
        <v>65</v>
      </c>
      <c r="B44" s="19" t="s">
        <v>64</v>
      </c>
      <c r="C44" s="16" t="str">
        <f ca="1">IF($H$10&lt;&gt;"R",IF(DB_TBL_DATA_FIELDS[[#This Row],[SHEET_REF_OWNER]]&lt;&gt;"",DB_TBL_DATA_FIELDS[[#This Row],[SHEET_REF_OWNER]],""),IF(DB_TBL_DATA_FIELDS[[#This Row],[SHEET_REF_RENTAL]]&lt;&gt;"",DB_TBL_DATA_FIELDS[[#This Row],[SHEET_REF_RENTAL]],""))</f>
        <v>RentalApp</v>
      </c>
      <c r="D44" s="4" t="s">
        <v>215</v>
      </c>
      <c r="E44" s="19" t="b">
        <v>0</v>
      </c>
      <c r="F44" s="42" t="b">
        <f ca="1">AND(F42,NOT(J42))</f>
        <v>0</v>
      </c>
      <c r="G44" s="6" t="s">
        <v>2448</v>
      </c>
      <c r="H44" s="11" t="str">
        <f ca="1">IFERROR(VLOOKUP(DB_TBL_DATA_FIELDS[[#This Row],[FIELD_ID]],INDIRECT(DB_TBL_DATA_FIELDS[[#This Row],[SHEET_REF_CALC]]&amp;"!A:B"),2,FALSE),"")</f>
        <v/>
      </c>
      <c r="I44" s="43" t="str">
        <f ca="1">IF(DB_TBL_DATA_FIELDS[[#This Row],[FIELD_EMPTY_FLAG]],"",AND(NOT(J42),J38))</f>
        <v/>
      </c>
      <c r="J44" s="20" t="b">
        <f ca="1">(DB_TBL_DATA_FIELDS[[#This Row],[FIELD_VALUE_RAW]]="")</f>
        <v>1</v>
      </c>
      <c r="K44" s="20" t="s">
        <v>62</v>
      </c>
      <c r="L44" s="21" t="b">
        <f ca="1">AND(IF(DB_TBL_DATA_FIELDS[[#This Row],[FIELD_VALID_CUSTOM_LOGIC]]="",TRUE,DB_TBL_DATA_FIELDS[[#This Row],[FIELD_VALID_CUSTOM_LOGIC]]),DB_TBL_DATA_FIELDS[[#This Row],[RANGE_VALIDATION_PASSED_FLAG]])</f>
        <v>0</v>
      </c>
      <c r="M44" s="2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4" s="21">
        <f ca="1">IF(DB_TBL_DATA_FIELDS[[#This Row],[SHEET_REF_CALC]]="","",IF(DB_TBL_DATA_FIELDS[[#This Row],[FIELD_EMPTY_FLAG]],IF(NOT(DB_TBL_DATA_FIELDS[[#This Row],[FIELD_REQ_FLAG]]),-1,1),IF(NOT(DB_TBL_DATA_FIELDS[[#This Row],[FIELD_VALID_FLAG]]),0,2)))</f>
        <v>-1</v>
      </c>
      <c r="O44" s="21" t="str">
        <f ca="1">IFERROR(VLOOKUP(DB_TBL_DATA_FIELDS[[#This Row],[FIELD_STATUS_CODE]],DB_TBL_CONFIG_FIELDSTATUSCODES[#All],3,FALSE),"")</f>
        <v>Optional</v>
      </c>
      <c r="P44" s="21" t="str">
        <f ca="1">IFERROR(VLOOKUP(DB_TBL_DATA_FIELDS[[#This Row],[FIELD_STATUS_CODE]],DB_TBL_CONFIG_FIELDSTATUSCODES[#All],4,FALSE),"")</f>
        <v xml:space="preserve"> </v>
      </c>
      <c r="Q44" s="21" t="b">
        <f>TRUE</f>
        <v>1</v>
      </c>
      <c r="R44" s="21" t="b">
        <v>1</v>
      </c>
      <c r="S44" s="19" t="s">
        <v>62</v>
      </c>
      <c r="T44" s="21">
        <f ca="1">IF(DB_TBL_DATA_FIELDS[[#This Row],[RANGE_VALIDATION_FLAG]]="Text",LEN(DB_TBL_DATA_FIELDS[[#This Row],[FIELD_VALUE_RAW]]),IFERROR(VALUE(DB_TBL_DATA_FIELDS[[#This Row],[FIELD_VALUE_RAW]]),-1))</f>
        <v>-1</v>
      </c>
      <c r="U44" s="21">
        <v>0</v>
      </c>
      <c r="V44" s="21">
        <v>1</v>
      </c>
      <c r="W44" s="21" t="b">
        <f ca="1">IF(NOT(DB_TBL_DATA_FIELDS[[#This Row],[RANGE_VALIDATION_ON_FLAG]]),TRUE,
AND(DB_TBL_DATA_FIELDS[[#This Row],[RANGE_VALUE_LEN]]&gt;=DB_TBL_DATA_FIELDS[[#This Row],[RANGE_VALIDATION_MIN]],DB_TBL_DATA_FIELDS[[#This Row],[RANGE_VALUE_LEN]]&lt;=DB_TBL_DATA_FIELDS[[#This Row],[RANGE_VALIDATION_MAX]]))</f>
        <v>0</v>
      </c>
      <c r="X44" s="16">
        <v>1</v>
      </c>
      <c r="Y44" s="16">
        <f ca="1">IF(DB_TBL_DATA_FIELDS[[#This Row],[PCT_CALC_SHOW_STATUS_CODE]]=1,
DB_TBL_DATA_FIELDS[[#This Row],[FIELD_STATUS_CODE]],
IF(AND(DB_TBL_DATA_FIELDS[[#This Row],[PCT_CALC_SHOW_STATUS_CODE]]=2,DB_TBL_DATA_FIELDS[[#This Row],[FIELD_STATUS_CODE]]=0),
DB_TBL_DATA_FIELDS[[#This Row],[FIELD_STATUS_CODE]],
"")
)</f>
        <v>-1</v>
      </c>
      <c r="Z44" s="16"/>
      <c r="AA44" s="11" t="s">
        <v>2453</v>
      </c>
      <c r="AB44" s="11" t="s">
        <v>2442</v>
      </c>
      <c r="AC44" s="8"/>
    </row>
    <row r="45" spans="1:29" x14ac:dyDescent="0.2">
      <c r="A45" s="19" t="s">
        <v>65</v>
      </c>
      <c r="B45" s="19" t="s">
        <v>64</v>
      </c>
      <c r="C45" s="16" t="str">
        <f ca="1">IF($H$10&lt;&gt;"R",IF(DB_TBL_DATA_FIELDS[[#This Row],[SHEET_REF_OWNER]]&lt;&gt;"",DB_TBL_DATA_FIELDS[[#This Row],[SHEET_REF_OWNER]],""),IF(DB_TBL_DATA_FIELDS[[#This Row],[SHEET_REF_RENTAL]]&lt;&gt;"",DB_TBL_DATA_FIELDS[[#This Row],[SHEET_REF_RENTAL]],""))</f>
        <v>RentalApp</v>
      </c>
      <c r="D45" s="4" t="s">
        <v>2475</v>
      </c>
      <c r="E45" s="4" t="b">
        <v>0</v>
      </c>
      <c r="F45" s="45" t="b">
        <v>0</v>
      </c>
      <c r="G45" s="6" t="s">
        <v>2486</v>
      </c>
      <c r="H45" s="11" t="b">
        <f ca="1">IFERROR(VLOOKUP(DB_TBL_DATA_FIELDS[[#This Row],[FIELD_ID]],INDIRECT(DB_TBL_DATA_FIELDS[[#This Row],[SHEET_REF_CALC]]&amp;"!A:B"),2,FALSE),"")</f>
        <v>0</v>
      </c>
      <c r="I45" s="33"/>
      <c r="J45" s="6" t="b">
        <f ca="1">(DB_TBL_DATA_FIELDS[[#This Row],[FIELD_VALUE_RAW]]="")</f>
        <v>0</v>
      </c>
      <c r="K45" s="6" t="s">
        <v>209</v>
      </c>
      <c r="L45" s="8" t="b">
        <f>AND(IF(DB_TBL_DATA_FIELDS[[#This Row],[FIELD_VALID_CUSTOM_LOGIC]]="",TRUE,DB_TBL_DATA_FIELDS[[#This Row],[FIELD_VALID_CUSTOM_LOGIC]]),DB_TBL_DATA_FIELDS[[#This Row],[RANGE_VALIDATION_PASSED_FLAG]])</f>
        <v>1</v>
      </c>
      <c r="M45"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v>
      </c>
      <c r="N45" s="8">
        <f ca="1">IF(DB_TBL_DATA_FIELDS[[#This Row],[SHEET_REF_CALC]]="","",IF(DB_TBL_DATA_FIELDS[[#This Row],[FIELD_EMPTY_FLAG]],IF(NOT(DB_TBL_DATA_FIELDS[[#This Row],[FIELD_REQ_FLAG]]),-1,1),IF(NOT(DB_TBL_DATA_FIELDS[[#This Row],[FIELD_VALID_FLAG]]),0,2)))</f>
        <v>2</v>
      </c>
      <c r="O45" s="8" t="str">
        <f ca="1">IFERROR(VLOOKUP(DB_TBL_DATA_FIELDS[[#This Row],[FIELD_STATUS_CODE]],DB_TBL_CONFIG_FIELDSTATUSCODES[#All],3,FALSE),"")</f>
        <v>OK</v>
      </c>
      <c r="P45" s="8" t="str">
        <f ca="1">IFERROR(VLOOKUP(DB_TBL_DATA_FIELDS[[#This Row],[FIELD_STATUS_CODE]],DB_TBL_CONFIG_FIELDSTATUSCODES[#All],4,FALSE),"")</f>
        <v>a</v>
      </c>
      <c r="Q45" s="8" t="b">
        <f>TRUE</f>
        <v>1</v>
      </c>
      <c r="R45" s="8" t="b">
        <v>0</v>
      </c>
      <c r="S45" s="4"/>
      <c r="T45" s="8">
        <f ca="1">IF(DB_TBL_DATA_FIELDS[[#This Row],[RANGE_VALIDATION_FLAG]]="Text",LEN(DB_TBL_DATA_FIELDS[[#This Row],[FIELD_VALUE_RAW]]),IFERROR(VALUE(DB_TBL_DATA_FIELDS[[#This Row],[FIELD_VALUE_RAW]]),-1))</f>
        <v>-1</v>
      </c>
      <c r="U45" s="8">
        <v>0</v>
      </c>
      <c r="V45" s="8">
        <v>1</v>
      </c>
      <c r="W45" s="8" t="b">
        <f>IF(NOT(DB_TBL_DATA_FIELDS[[#This Row],[RANGE_VALIDATION_ON_FLAG]]),TRUE,
AND(DB_TBL_DATA_FIELDS[[#This Row],[RANGE_VALUE_LEN]]&gt;=DB_TBL_DATA_FIELDS[[#This Row],[RANGE_VALIDATION_MIN]],DB_TBL_DATA_FIELDS[[#This Row],[RANGE_VALUE_LEN]]&lt;=DB_TBL_DATA_FIELDS[[#This Row],[RANGE_VALIDATION_MAX]]))</f>
        <v>1</v>
      </c>
      <c r="X45" s="7">
        <v>0</v>
      </c>
      <c r="Y45" s="7" t="str">
        <f ca="1">IF(DB_TBL_DATA_FIELDS[[#This Row],[PCT_CALC_SHOW_STATUS_CODE]]=1,
DB_TBL_DATA_FIELDS[[#This Row],[FIELD_STATUS_CODE]],
IF(AND(DB_TBL_DATA_FIELDS[[#This Row],[PCT_CALC_SHOW_STATUS_CODE]]=2,DB_TBL_DATA_FIELDS[[#This Row],[FIELD_STATUS_CODE]]=0),
DB_TBL_DATA_FIELDS[[#This Row],[FIELD_STATUS_CODE]],
"")
)</f>
        <v/>
      </c>
      <c r="Z45" s="7"/>
      <c r="AA45" s="11"/>
      <c r="AB45" s="11" t="s">
        <v>2442</v>
      </c>
      <c r="AC45" s="8" t="s">
        <v>2867</v>
      </c>
    </row>
    <row r="46" spans="1:29" x14ac:dyDescent="0.2">
      <c r="A46" s="19" t="s">
        <v>65</v>
      </c>
      <c r="B46" s="19" t="s">
        <v>64</v>
      </c>
      <c r="C46" s="16" t="str">
        <f ca="1">IF($H$10&lt;&gt;"R",IF(DB_TBL_DATA_FIELDS[[#This Row],[SHEET_REF_OWNER]]&lt;&gt;"",DB_TBL_DATA_FIELDS[[#This Row],[SHEET_REF_OWNER]],""),IF(DB_TBL_DATA_FIELDS[[#This Row],[SHEET_REF_RENTAL]]&lt;&gt;"",DB_TBL_DATA_FIELDS[[#This Row],[SHEET_REF_RENTAL]],""))</f>
        <v>RentalApp</v>
      </c>
      <c r="D46" s="4" t="s">
        <v>2476</v>
      </c>
      <c r="E46" s="4" t="b">
        <v>0</v>
      </c>
      <c r="F46" s="45" t="b">
        <v>0</v>
      </c>
      <c r="G46" s="6" t="s">
        <v>2487</v>
      </c>
      <c r="H46" s="11" t="b">
        <f ca="1">IFERROR(VLOOKUP(DB_TBL_DATA_FIELDS[[#This Row],[FIELD_ID]],INDIRECT(DB_TBL_DATA_FIELDS[[#This Row],[SHEET_REF_CALC]]&amp;"!A:B"),2,FALSE),"")</f>
        <v>0</v>
      </c>
      <c r="I46" s="33"/>
      <c r="J46" s="6" t="b">
        <f ca="1">(DB_TBL_DATA_FIELDS[[#This Row],[FIELD_VALUE_RAW]]="")</f>
        <v>0</v>
      </c>
      <c r="K46" s="6" t="s">
        <v>209</v>
      </c>
      <c r="L46" s="8" t="b">
        <f>AND(IF(DB_TBL_DATA_FIELDS[[#This Row],[FIELD_VALID_CUSTOM_LOGIC]]="",TRUE,DB_TBL_DATA_FIELDS[[#This Row],[FIELD_VALID_CUSTOM_LOGIC]]),DB_TBL_DATA_FIELDS[[#This Row],[RANGE_VALIDATION_PASSED_FLAG]])</f>
        <v>1</v>
      </c>
      <c r="M46"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v>
      </c>
      <c r="N46" s="8">
        <f ca="1">IF(DB_TBL_DATA_FIELDS[[#This Row],[SHEET_REF_CALC]]="","",IF(DB_TBL_DATA_FIELDS[[#This Row],[FIELD_EMPTY_FLAG]],IF(NOT(DB_TBL_DATA_FIELDS[[#This Row],[FIELD_REQ_FLAG]]),-1,1),IF(NOT(DB_TBL_DATA_FIELDS[[#This Row],[FIELD_VALID_FLAG]]),0,2)))</f>
        <v>2</v>
      </c>
      <c r="O46" s="8" t="str">
        <f ca="1">IFERROR(VLOOKUP(DB_TBL_DATA_FIELDS[[#This Row],[FIELD_STATUS_CODE]],DB_TBL_CONFIG_FIELDSTATUSCODES[#All],3,FALSE),"")</f>
        <v>OK</v>
      </c>
      <c r="P46" s="8" t="str">
        <f ca="1">IFERROR(VLOOKUP(DB_TBL_DATA_FIELDS[[#This Row],[FIELD_STATUS_CODE]],DB_TBL_CONFIG_FIELDSTATUSCODES[#All],4,FALSE),"")</f>
        <v>a</v>
      </c>
      <c r="Q46" s="8" t="b">
        <f>TRUE</f>
        <v>1</v>
      </c>
      <c r="R46" s="8" t="b">
        <v>0</v>
      </c>
      <c r="S46" s="4"/>
      <c r="T46" s="8">
        <f ca="1">IF(DB_TBL_DATA_FIELDS[[#This Row],[RANGE_VALIDATION_FLAG]]="Text",LEN(DB_TBL_DATA_FIELDS[[#This Row],[FIELD_VALUE_RAW]]),IFERROR(VALUE(DB_TBL_DATA_FIELDS[[#This Row],[FIELD_VALUE_RAW]]),-1))</f>
        <v>-1</v>
      </c>
      <c r="U46" s="8">
        <v>0</v>
      </c>
      <c r="V46" s="8">
        <v>1</v>
      </c>
      <c r="W46" s="8" t="b">
        <f>IF(NOT(DB_TBL_DATA_FIELDS[[#This Row],[RANGE_VALIDATION_ON_FLAG]]),TRUE,
AND(DB_TBL_DATA_FIELDS[[#This Row],[RANGE_VALUE_LEN]]&gt;=DB_TBL_DATA_FIELDS[[#This Row],[RANGE_VALIDATION_MIN]],DB_TBL_DATA_FIELDS[[#This Row],[RANGE_VALUE_LEN]]&lt;=DB_TBL_DATA_FIELDS[[#This Row],[RANGE_VALIDATION_MAX]]))</f>
        <v>1</v>
      </c>
      <c r="X46" s="7">
        <v>0</v>
      </c>
      <c r="Y46" s="7" t="str">
        <f ca="1">IF(DB_TBL_DATA_FIELDS[[#This Row],[PCT_CALC_SHOW_STATUS_CODE]]=1,
DB_TBL_DATA_FIELDS[[#This Row],[FIELD_STATUS_CODE]],
IF(AND(DB_TBL_DATA_FIELDS[[#This Row],[PCT_CALC_SHOW_STATUS_CODE]]=2,DB_TBL_DATA_FIELDS[[#This Row],[FIELD_STATUS_CODE]]=0),
DB_TBL_DATA_FIELDS[[#This Row],[FIELD_STATUS_CODE]],
"")
)</f>
        <v/>
      </c>
      <c r="Z46" s="7"/>
      <c r="AA46" s="11"/>
      <c r="AB46" s="11" t="s">
        <v>2442</v>
      </c>
      <c r="AC46" s="8" t="s">
        <v>2867</v>
      </c>
    </row>
    <row r="47" spans="1:29" x14ac:dyDescent="0.2">
      <c r="A47" s="19" t="s">
        <v>65</v>
      </c>
      <c r="B47" s="19" t="s">
        <v>64</v>
      </c>
      <c r="C47" s="16" t="str">
        <f ca="1">IF($H$10&lt;&gt;"R",IF(DB_TBL_DATA_FIELDS[[#This Row],[SHEET_REF_OWNER]]&lt;&gt;"",DB_TBL_DATA_FIELDS[[#This Row],[SHEET_REF_OWNER]],""),IF(DB_TBL_DATA_FIELDS[[#This Row],[SHEET_REF_RENTAL]]&lt;&gt;"",DB_TBL_DATA_FIELDS[[#This Row],[SHEET_REF_RENTAL]],""))</f>
        <v>RentalApp</v>
      </c>
      <c r="D47" s="4" t="s">
        <v>2477</v>
      </c>
      <c r="E47" s="4" t="b">
        <v>0</v>
      </c>
      <c r="F47" s="45" t="b">
        <v>0</v>
      </c>
      <c r="G47" s="6" t="s">
        <v>2488</v>
      </c>
      <c r="H47" s="11" t="b">
        <f ca="1">IFERROR(VLOOKUP(DB_TBL_DATA_FIELDS[[#This Row],[FIELD_ID]],INDIRECT(DB_TBL_DATA_FIELDS[[#This Row],[SHEET_REF_CALC]]&amp;"!A:B"),2,FALSE),"")</f>
        <v>0</v>
      </c>
      <c r="I47" s="33"/>
      <c r="J47" s="6" t="b">
        <f ca="1">(DB_TBL_DATA_FIELDS[[#This Row],[FIELD_VALUE_RAW]]="")</f>
        <v>0</v>
      </c>
      <c r="K47" s="6" t="s">
        <v>209</v>
      </c>
      <c r="L47" s="8" t="b">
        <f>AND(IF(DB_TBL_DATA_FIELDS[[#This Row],[FIELD_VALID_CUSTOM_LOGIC]]="",TRUE,DB_TBL_DATA_FIELDS[[#This Row],[FIELD_VALID_CUSTOM_LOGIC]]),DB_TBL_DATA_FIELDS[[#This Row],[RANGE_VALIDATION_PASSED_FLAG]])</f>
        <v>1</v>
      </c>
      <c r="M47"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v>
      </c>
      <c r="N47" s="8">
        <f ca="1">IF(DB_TBL_DATA_FIELDS[[#This Row],[SHEET_REF_CALC]]="","",IF(DB_TBL_DATA_FIELDS[[#This Row],[FIELD_EMPTY_FLAG]],IF(NOT(DB_TBL_DATA_FIELDS[[#This Row],[FIELD_REQ_FLAG]]),-1,1),IF(NOT(DB_TBL_DATA_FIELDS[[#This Row],[FIELD_VALID_FLAG]]),0,2)))</f>
        <v>2</v>
      </c>
      <c r="O47" s="8" t="str">
        <f ca="1">IFERROR(VLOOKUP(DB_TBL_DATA_FIELDS[[#This Row],[FIELD_STATUS_CODE]],DB_TBL_CONFIG_FIELDSTATUSCODES[#All],3,FALSE),"")</f>
        <v>OK</v>
      </c>
      <c r="P47" s="8" t="str">
        <f ca="1">IFERROR(VLOOKUP(DB_TBL_DATA_FIELDS[[#This Row],[FIELD_STATUS_CODE]],DB_TBL_CONFIG_FIELDSTATUSCODES[#All],4,FALSE),"")</f>
        <v>a</v>
      </c>
      <c r="Q47" s="8" t="b">
        <f>TRUE</f>
        <v>1</v>
      </c>
      <c r="R47" s="8" t="b">
        <v>0</v>
      </c>
      <c r="S47" s="4"/>
      <c r="T47" s="8">
        <f ca="1">IF(DB_TBL_DATA_FIELDS[[#This Row],[RANGE_VALIDATION_FLAG]]="Text",LEN(DB_TBL_DATA_FIELDS[[#This Row],[FIELD_VALUE_RAW]]),IFERROR(VALUE(DB_TBL_DATA_FIELDS[[#This Row],[FIELD_VALUE_RAW]]),-1))</f>
        <v>-1</v>
      </c>
      <c r="U47" s="8">
        <v>0</v>
      </c>
      <c r="V47" s="8">
        <v>1</v>
      </c>
      <c r="W47" s="8" t="b">
        <f>IF(NOT(DB_TBL_DATA_FIELDS[[#This Row],[RANGE_VALIDATION_ON_FLAG]]),TRUE,
AND(DB_TBL_DATA_FIELDS[[#This Row],[RANGE_VALUE_LEN]]&gt;=DB_TBL_DATA_FIELDS[[#This Row],[RANGE_VALIDATION_MIN]],DB_TBL_DATA_FIELDS[[#This Row],[RANGE_VALUE_LEN]]&lt;=DB_TBL_DATA_FIELDS[[#This Row],[RANGE_VALIDATION_MAX]]))</f>
        <v>1</v>
      </c>
      <c r="X47" s="7">
        <v>0</v>
      </c>
      <c r="Y47" s="7" t="str">
        <f ca="1">IF(DB_TBL_DATA_FIELDS[[#This Row],[PCT_CALC_SHOW_STATUS_CODE]]=1,
DB_TBL_DATA_FIELDS[[#This Row],[FIELD_STATUS_CODE]],
IF(AND(DB_TBL_DATA_FIELDS[[#This Row],[PCT_CALC_SHOW_STATUS_CODE]]=2,DB_TBL_DATA_FIELDS[[#This Row],[FIELD_STATUS_CODE]]=0),
DB_TBL_DATA_FIELDS[[#This Row],[FIELD_STATUS_CODE]],
"")
)</f>
        <v/>
      </c>
      <c r="Z47" s="7"/>
      <c r="AA47" s="11"/>
      <c r="AB47" s="11" t="s">
        <v>2442</v>
      </c>
      <c r="AC47" s="8" t="s">
        <v>2867</v>
      </c>
    </row>
    <row r="48" spans="1:29" x14ac:dyDescent="0.2">
      <c r="A48" s="19" t="s">
        <v>65</v>
      </c>
      <c r="B48" s="19" t="s">
        <v>64</v>
      </c>
      <c r="C48" s="16" t="str">
        <f ca="1">IF($H$10&lt;&gt;"R",IF(DB_TBL_DATA_FIELDS[[#This Row],[SHEET_REF_OWNER]]&lt;&gt;"",DB_TBL_DATA_FIELDS[[#This Row],[SHEET_REF_OWNER]],""),IF(DB_TBL_DATA_FIELDS[[#This Row],[SHEET_REF_RENTAL]]&lt;&gt;"",DB_TBL_DATA_FIELDS[[#This Row],[SHEET_REF_RENTAL]],""))</f>
        <v>RentalApp</v>
      </c>
      <c r="D48" s="4" t="s">
        <v>2478</v>
      </c>
      <c r="E48" s="4" t="b">
        <v>0</v>
      </c>
      <c r="F48" s="45" t="b">
        <v>0</v>
      </c>
      <c r="G48" s="6" t="s">
        <v>2489</v>
      </c>
      <c r="H48" s="11" t="b">
        <f ca="1">IFERROR(VLOOKUP(DB_TBL_DATA_FIELDS[[#This Row],[FIELD_ID]],INDIRECT(DB_TBL_DATA_FIELDS[[#This Row],[SHEET_REF_CALC]]&amp;"!A:B"),2,FALSE),"")</f>
        <v>0</v>
      </c>
      <c r="I48" s="33"/>
      <c r="J48" s="6" t="b">
        <f ca="1">(DB_TBL_DATA_FIELDS[[#This Row],[FIELD_VALUE_RAW]]="")</f>
        <v>0</v>
      </c>
      <c r="K48" s="6" t="s">
        <v>209</v>
      </c>
      <c r="L48" s="8" t="b">
        <f>AND(IF(DB_TBL_DATA_FIELDS[[#This Row],[FIELD_VALID_CUSTOM_LOGIC]]="",TRUE,DB_TBL_DATA_FIELDS[[#This Row],[FIELD_VALID_CUSTOM_LOGIC]]),DB_TBL_DATA_FIELDS[[#This Row],[RANGE_VALIDATION_PASSED_FLAG]])</f>
        <v>1</v>
      </c>
      <c r="M48"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v>
      </c>
      <c r="N48" s="8">
        <f ca="1">IF(DB_TBL_DATA_FIELDS[[#This Row],[SHEET_REF_CALC]]="","",IF(DB_TBL_DATA_FIELDS[[#This Row],[FIELD_EMPTY_FLAG]],IF(NOT(DB_TBL_DATA_FIELDS[[#This Row],[FIELD_REQ_FLAG]]),-1,1),IF(NOT(DB_TBL_DATA_FIELDS[[#This Row],[FIELD_VALID_FLAG]]),0,2)))</f>
        <v>2</v>
      </c>
      <c r="O48" s="8" t="str">
        <f ca="1">IFERROR(VLOOKUP(DB_TBL_DATA_FIELDS[[#This Row],[FIELD_STATUS_CODE]],DB_TBL_CONFIG_FIELDSTATUSCODES[#All],3,FALSE),"")</f>
        <v>OK</v>
      </c>
      <c r="P48" s="8" t="str">
        <f ca="1">IFERROR(VLOOKUP(DB_TBL_DATA_FIELDS[[#This Row],[FIELD_STATUS_CODE]],DB_TBL_CONFIG_FIELDSTATUSCODES[#All],4,FALSE),"")</f>
        <v>a</v>
      </c>
      <c r="Q48" s="8" t="b">
        <f>TRUE</f>
        <v>1</v>
      </c>
      <c r="R48" s="8" t="b">
        <v>0</v>
      </c>
      <c r="S48" s="4"/>
      <c r="T48" s="8">
        <f ca="1">IF(DB_TBL_DATA_FIELDS[[#This Row],[RANGE_VALIDATION_FLAG]]="Text",LEN(DB_TBL_DATA_FIELDS[[#This Row],[FIELD_VALUE_RAW]]),IFERROR(VALUE(DB_TBL_DATA_FIELDS[[#This Row],[FIELD_VALUE_RAW]]),-1))</f>
        <v>-1</v>
      </c>
      <c r="U48" s="8">
        <v>0</v>
      </c>
      <c r="V48" s="8">
        <v>1</v>
      </c>
      <c r="W48" s="8" t="b">
        <f>IF(NOT(DB_TBL_DATA_FIELDS[[#This Row],[RANGE_VALIDATION_ON_FLAG]]),TRUE,
AND(DB_TBL_DATA_FIELDS[[#This Row],[RANGE_VALUE_LEN]]&gt;=DB_TBL_DATA_FIELDS[[#This Row],[RANGE_VALIDATION_MIN]],DB_TBL_DATA_FIELDS[[#This Row],[RANGE_VALUE_LEN]]&lt;=DB_TBL_DATA_FIELDS[[#This Row],[RANGE_VALIDATION_MAX]]))</f>
        <v>1</v>
      </c>
      <c r="X48" s="7">
        <v>0</v>
      </c>
      <c r="Y48" s="7" t="str">
        <f ca="1">IF(DB_TBL_DATA_FIELDS[[#This Row],[PCT_CALC_SHOW_STATUS_CODE]]=1,
DB_TBL_DATA_FIELDS[[#This Row],[FIELD_STATUS_CODE]],
IF(AND(DB_TBL_DATA_FIELDS[[#This Row],[PCT_CALC_SHOW_STATUS_CODE]]=2,DB_TBL_DATA_FIELDS[[#This Row],[FIELD_STATUS_CODE]]=0),
DB_TBL_DATA_FIELDS[[#This Row],[FIELD_STATUS_CODE]],
"")
)</f>
        <v/>
      </c>
      <c r="Z48" s="7"/>
      <c r="AA48" s="11"/>
      <c r="AB48" s="11" t="s">
        <v>2442</v>
      </c>
      <c r="AC48" s="8" t="s">
        <v>2867</v>
      </c>
    </row>
    <row r="49" spans="1:29" x14ac:dyDescent="0.2">
      <c r="A49" s="19" t="s">
        <v>65</v>
      </c>
      <c r="B49" s="19" t="s">
        <v>64</v>
      </c>
      <c r="C49" s="16" t="str">
        <f ca="1">IF($H$10&lt;&gt;"R",IF(DB_TBL_DATA_FIELDS[[#This Row],[SHEET_REF_OWNER]]&lt;&gt;"",DB_TBL_DATA_FIELDS[[#This Row],[SHEET_REF_OWNER]],""),IF(DB_TBL_DATA_FIELDS[[#This Row],[SHEET_REF_RENTAL]]&lt;&gt;"",DB_TBL_DATA_FIELDS[[#This Row],[SHEET_REF_RENTAL]],""))</f>
        <v>RentalApp</v>
      </c>
      <c r="D49" s="4" t="s">
        <v>2479</v>
      </c>
      <c r="E49" s="4" t="b">
        <v>0</v>
      </c>
      <c r="F49" s="45" t="b">
        <v>0</v>
      </c>
      <c r="G49" s="6" t="s">
        <v>2490</v>
      </c>
      <c r="H49" s="11" t="b">
        <f ca="1">IFERROR(VLOOKUP(DB_TBL_DATA_FIELDS[[#This Row],[FIELD_ID]],INDIRECT(DB_TBL_DATA_FIELDS[[#This Row],[SHEET_REF_CALC]]&amp;"!A:B"),2,FALSE),"")</f>
        <v>0</v>
      </c>
      <c r="I49" s="33"/>
      <c r="J49" s="6" t="b">
        <f ca="1">(DB_TBL_DATA_FIELDS[[#This Row],[FIELD_VALUE_RAW]]="")</f>
        <v>0</v>
      </c>
      <c r="K49" s="6" t="s">
        <v>209</v>
      </c>
      <c r="L49" s="8" t="b">
        <f>AND(IF(DB_TBL_DATA_FIELDS[[#This Row],[FIELD_VALID_CUSTOM_LOGIC]]="",TRUE,DB_TBL_DATA_FIELDS[[#This Row],[FIELD_VALID_CUSTOM_LOGIC]]),DB_TBL_DATA_FIELDS[[#This Row],[RANGE_VALIDATION_PASSED_FLAG]])</f>
        <v>1</v>
      </c>
      <c r="M49"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v>
      </c>
      <c r="N49" s="8">
        <f ca="1">IF(DB_TBL_DATA_FIELDS[[#This Row],[SHEET_REF_CALC]]="","",IF(DB_TBL_DATA_FIELDS[[#This Row],[FIELD_EMPTY_FLAG]],IF(NOT(DB_TBL_DATA_FIELDS[[#This Row],[FIELD_REQ_FLAG]]),-1,1),IF(NOT(DB_TBL_DATA_FIELDS[[#This Row],[FIELD_VALID_FLAG]]),0,2)))</f>
        <v>2</v>
      </c>
      <c r="O49" s="8" t="str">
        <f ca="1">IFERROR(VLOOKUP(DB_TBL_DATA_FIELDS[[#This Row],[FIELD_STATUS_CODE]],DB_TBL_CONFIG_FIELDSTATUSCODES[#All],3,FALSE),"")</f>
        <v>OK</v>
      </c>
      <c r="P49" s="8" t="str">
        <f ca="1">IFERROR(VLOOKUP(DB_TBL_DATA_FIELDS[[#This Row],[FIELD_STATUS_CODE]],DB_TBL_CONFIG_FIELDSTATUSCODES[#All],4,FALSE),"")</f>
        <v>a</v>
      </c>
      <c r="Q49" s="8" t="b">
        <f>TRUE</f>
        <v>1</v>
      </c>
      <c r="R49" s="8" t="b">
        <v>0</v>
      </c>
      <c r="S49" s="4"/>
      <c r="T49" s="8">
        <f ca="1">IF(DB_TBL_DATA_FIELDS[[#This Row],[RANGE_VALIDATION_FLAG]]="Text",LEN(DB_TBL_DATA_FIELDS[[#This Row],[FIELD_VALUE_RAW]]),IFERROR(VALUE(DB_TBL_DATA_FIELDS[[#This Row],[FIELD_VALUE_RAW]]),-1))</f>
        <v>-1</v>
      </c>
      <c r="U49" s="8">
        <v>0</v>
      </c>
      <c r="V49" s="8">
        <v>1</v>
      </c>
      <c r="W49" s="8" t="b">
        <f>IF(NOT(DB_TBL_DATA_FIELDS[[#This Row],[RANGE_VALIDATION_ON_FLAG]]),TRUE,
AND(DB_TBL_DATA_FIELDS[[#This Row],[RANGE_VALUE_LEN]]&gt;=DB_TBL_DATA_FIELDS[[#This Row],[RANGE_VALIDATION_MIN]],DB_TBL_DATA_FIELDS[[#This Row],[RANGE_VALUE_LEN]]&lt;=DB_TBL_DATA_FIELDS[[#This Row],[RANGE_VALIDATION_MAX]]))</f>
        <v>1</v>
      </c>
      <c r="X49" s="7">
        <v>0</v>
      </c>
      <c r="Y49" s="7" t="str">
        <f ca="1">IF(DB_TBL_DATA_FIELDS[[#This Row],[PCT_CALC_SHOW_STATUS_CODE]]=1,
DB_TBL_DATA_FIELDS[[#This Row],[FIELD_STATUS_CODE]],
IF(AND(DB_TBL_DATA_FIELDS[[#This Row],[PCT_CALC_SHOW_STATUS_CODE]]=2,DB_TBL_DATA_FIELDS[[#This Row],[FIELD_STATUS_CODE]]=0),
DB_TBL_DATA_FIELDS[[#This Row],[FIELD_STATUS_CODE]],
"")
)</f>
        <v/>
      </c>
      <c r="Z49" s="7"/>
      <c r="AA49" s="11"/>
      <c r="AB49" s="11" t="s">
        <v>2442</v>
      </c>
      <c r="AC49" s="8" t="s">
        <v>2867</v>
      </c>
    </row>
    <row r="50" spans="1:29" x14ac:dyDescent="0.2">
      <c r="A50" s="19" t="s">
        <v>65</v>
      </c>
      <c r="B50" s="19" t="s">
        <v>64</v>
      </c>
      <c r="C50" s="16" t="str">
        <f ca="1">IF($H$10&lt;&gt;"R",IF(DB_TBL_DATA_FIELDS[[#This Row],[SHEET_REF_OWNER]]&lt;&gt;"",DB_TBL_DATA_FIELDS[[#This Row],[SHEET_REF_OWNER]],""),IF(DB_TBL_DATA_FIELDS[[#This Row],[SHEET_REF_RENTAL]]&lt;&gt;"",DB_TBL_DATA_FIELDS[[#This Row],[SHEET_REF_RENTAL]],""))</f>
        <v>RentalApp</v>
      </c>
      <c r="D50" s="4" t="s">
        <v>2480</v>
      </c>
      <c r="E50" s="4" t="b">
        <v>0</v>
      </c>
      <c r="F50" s="45" t="b">
        <v>0</v>
      </c>
      <c r="G50" s="6" t="s">
        <v>2491</v>
      </c>
      <c r="H50" s="11" t="b">
        <f ca="1">IFERROR(VLOOKUP(DB_TBL_DATA_FIELDS[[#This Row],[FIELD_ID]],INDIRECT(DB_TBL_DATA_FIELDS[[#This Row],[SHEET_REF_CALC]]&amp;"!A:B"),2,FALSE),"")</f>
        <v>0</v>
      </c>
      <c r="I50" s="33"/>
      <c r="J50" s="6" t="b">
        <f ca="1">(DB_TBL_DATA_FIELDS[[#This Row],[FIELD_VALUE_RAW]]="")</f>
        <v>0</v>
      </c>
      <c r="K50" s="6" t="s">
        <v>209</v>
      </c>
      <c r="L50" s="8" t="b">
        <f>AND(IF(DB_TBL_DATA_FIELDS[[#This Row],[FIELD_VALID_CUSTOM_LOGIC]]="",TRUE,DB_TBL_DATA_FIELDS[[#This Row],[FIELD_VALID_CUSTOM_LOGIC]]),DB_TBL_DATA_FIELDS[[#This Row],[RANGE_VALIDATION_PASSED_FLAG]])</f>
        <v>1</v>
      </c>
      <c r="M50"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v>
      </c>
      <c r="N50" s="8">
        <f ca="1">IF(DB_TBL_DATA_FIELDS[[#This Row],[SHEET_REF_CALC]]="","",IF(DB_TBL_DATA_FIELDS[[#This Row],[FIELD_EMPTY_FLAG]],IF(NOT(DB_TBL_DATA_FIELDS[[#This Row],[FIELD_REQ_FLAG]]),-1,1),IF(NOT(DB_TBL_DATA_FIELDS[[#This Row],[FIELD_VALID_FLAG]]),0,2)))</f>
        <v>2</v>
      </c>
      <c r="O50" s="8" t="str">
        <f ca="1">IFERROR(VLOOKUP(DB_TBL_DATA_FIELDS[[#This Row],[FIELD_STATUS_CODE]],DB_TBL_CONFIG_FIELDSTATUSCODES[#All],3,FALSE),"")</f>
        <v>OK</v>
      </c>
      <c r="P50" s="8" t="str">
        <f ca="1">IFERROR(VLOOKUP(DB_TBL_DATA_FIELDS[[#This Row],[FIELD_STATUS_CODE]],DB_TBL_CONFIG_FIELDSTATUSCODES[#All],4,FALSE),"")</f>
        <v>a</v>
      </c>
      <c r="Q50" s="8" t="b">
        <f>TRUE</f>
        <v>1</v>
      </c>
      <c r="R50" s="8" t="b">
        <v>0</v>
      </c>
      <c r="S50" s="4"/>
      <c r="T50" s="8">
        <f ca="1">IF(DB_TBL_DATA_FIELDS[[#This Row],[RANGE_VALIDATION_FLAG]]="Text",LEN(DB_TBL_DATA_FIELDS[[#This Row],[FIELD_VALUE_RAW]]),IFERROR(VALUE(DB_TBL_DATA_FIELDS[[#This Row],[FIELD_VALUE_RAW]]),-1))</f>
        <v>-1</v>
      </c>
      <c r="U50" s="8">
        <v>0</v>
      </c>
      <c r="V50" s="8">
        <v>1</v>
      </c>
      <c r="W50" s="8" t="b">
        <f>IF(NOT(DB_TBL_DATA_FIELDS[[#This Row],[RANGE_VALIDATION_ON_FLAG]]),TRUE,
AND(DB_TBL_DATA_FIELDS[[#This Row],[RANGE_VALUE_LEN]]&gt;=DB_TBL_DATA_FIELDS[[#This Row],[RANGE_VALIDATION_MIN]],DB_TBL_DATA_FIELDS[[#This Row],[RANGE_VALUE_LEN]]&lt;=DB_TBL_DATA_FIELDS[[#This Row],[RANGE_VALIDATION_MAX]]))</f>
        <v>1</v>
      </c>
      <c r="X50" s="7">
        <v>0</v>
      </c>
      <c r="Y50" s="7" t="str">
        <f ca="1">IF(DB_TBL_DATA_FIELDS[[#This Row],[PCT_CALC_SHOW_STATUS_CODE]]=1,
DB_TBL_DATA_FIELDS[[#This Row],[FIELD_STATUS_CODE]],
IF(AND(DB_TBL_DATA_FIELDS[[#This Row],[PCT_CALC_SHOW_STATUS_CODE]]=2,DB_TBL_DATA_FIELDS[[#This Row],[FIELD_STATUS_CODE]]=0),
DB_TBL_DATA_FIELDS[[#This Row],[FIELD_STATUS_CODE]],
"")
)</f>
        <v/>
      </c>
      <c r="Z50" s="7"/>
      <c r="AA50" s="11"/>
      <c r="AB50" s="11" t="s">
        <v>2442</v>
      </c>
      <c r="AC50" s="8" t="s">
        <v>2867</v>
      </c>
    </row>
    <row r="51" spans="1:29" x14ac:dyDescent="0.2">
      <c r="A51" s="19" t="s">
        <v>65</v>
      </c>
      <c r="B51" s="19" t="s">
        <v>64</v>
      </c>
      <c r="C51" s="16" t="str">
        <f ca="1">IF($H$10&lt;&gt;"R",IF(DB_TBL_DATA_FIELDS[[#This Row],[SHEET_REF_OWNER]]&lt;&gt;"",DB_TBL_DATA_FIELDS[[#This Row],[SHEET_REF_OWNER]],""),IF(DB_TBL_DATA_FIELDS[[#This Row],[SHEET_REF_RENTAL]]&lt;&gt;"",DB_TBL_DATA_FIELDS[[#This Row],[SHEET_REF_RENTAL]],""))</f>
        <v>RentalApp</v>
      </c>
      <c r="D51" s="4" t="s">
        <v>2481</v>
      </c>
      <c r="E51" s="4" t="b">
        <v>0</v>
      </c>
      <c r="F51" s="45" t="b">
        <v>0</v>
      </c>
      <c r="G51" s="6" t="s">
        <v>2492</v>
      </c>
      <c r="H51" s="11" t="b">
        <f ca="1">IFERROR(VLOOKUP(DB_TBL_DATA_FIELDS[[#This Row],[FIELD_ID]],INDIRECT(DB_TBL_DATA_FIELDS[[#This Row],[SHEET_REF_CALC]]&amp;"!A:B"),2,FALSE),"")</f>
        <v>0</v>
      </c>
      <c r="I51" s="33"/>
      <c r="J51" s="6" t="b">
        <f ca="1">(DB_TBL_DATA_FIELDS[[#This Row],[FIELD_VALUE_RAW]]="")</f>
        <v>0</v>
      </c>
      <c r="K51" s="6" t="s">
        <v>209</v>
      </c>
      <c r="L51" s="8" t="b">
        <f>AND(IF(DB_TBL_DATA_FIELDS[[#This Row],[FIELD_VALID_CUSTOM_LOGIC]]="",TRUE,DB_TBL_DATA_FIELDS[[#This Row],[FIELD_VALID_CUSTOM_LOGIC]]),DB_TBL_DATA_FIELDS[[#This Row],[RANGE_VALIDATION_PASSED_FLAG]])</f>
        <v>1</v>
      </c>
      <c r="M51"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v>
      </c>
      <c r="N51" s="8">
        <f ca="1">IF(DB_TBL_DATA_FIELDS[[#This Row],[SHEET_REF_CALC]]="","",IF(DB_TBL_DATA_FIELDS[[#This Row],[FIELD_EMPTY_FLAG]],IF(NOT(DB_TBL_DATA_FIELDS[[#This Row],[FIELD_REQ_FLAG]]),-1,1),IF(NOT(DB_TBL_DATA_FIELDS[[#This Row],[FIELD_VALID_FLAG]]),0,2)))</f>
        <v>2</v>
      </c>
      <c r="O51" s="8" t="str">
        <f ca="1">IFERROR(VLOOKUP(DB_TBL_DATA_FIELDS[[#This Row],[FIELD_STATUS_CODE]],DB_TBL_CONFIG_FIELDSTATUSCODES[#All],3,FALSE),"")</f>
        <v>OK</v>
      </c>
      <c r="P51" s="8" t="str">
        <f ca="1">IFERROR(VLOOKUP(DB_TBL_DATA_FIELDS[[#This Row],[FIELD_STATUS_CODE]],DB_TBL_CONFIG_FIELDSTATUSCODES[#All],4,FALSE),"")</f>
        <v>a</v>
      </c>
      <c r="Q51" s="8" t="b">
        <f>TRUE</f>
        <v>1</v>
      </c>
      <c r="R51" s="8" t="b">
        <v>0</v>
      </c>
      <c r="S51" s="4"/>
      <c r="T51" s="8">
        <f ca="1">IF(DB_TBL_DATA_FIELDS[[#This Row],[RANGE_VALIDATION_FLAG]]="Text",LEN(DB_TBL_DATA_FIELDS[[#This Row],[FIELD_VALUE_RAW]]),IFERROR(VALUE(DB_TBL_DATA_FIELDS[[#This Row],[FIELD_VALUE_RAW]]),-1))</f>
        <v>-1</v>
      </c>
      <c r="U51" s="8">
        <v>0</v>
      </c>
      <c r="V51" s="8">
        <v>1</v>
      </c>
      <c r="W51" s="8" t="b">
        <f>IF(NOT(DB_TBL_DATA_FIELDS[[#This Row],[RANGE_VALIDATION_ON_FLAG]]),TRUE,
AND(DB_TBL_DATA_FIELDS[[#This Row],[RANGE_VALUE_LEN]]&gt;=DB_TBL_DATA_FIELDS[[#This Row],[RANGE_VALIDATION_MIN]],DB_TBL_DATA_FIELDS[[#This Row],[RANGE_VALUE_LEN]]&lt;=DB_TBL_DATA_FIELDS[[#This Row],[RANGE_VALIDATION_MAX]]))</f>
        <v>1</v>
      </c>
      <c r="X51" s="7">
        <v>0</v>
      </c>
      <c r="Y51" s="7" t="str">
        <f ca="1">IF(DB_TBL_DATA_FIELDS[[#This Row],[PCT_CALC_SHOW_STATUS_CODE]]=1,
DB_TBL_DATA_FIELDS[[#This Row],[FIELD_STATUS_CODE]],
IF(AND(DB_TBL_DATA_FIELDS[[#This Row],[PCT_CALC_SHOW_STATUS_CODE]]=2,DB_TBL_DATA_FIELDS[[#This Row],[FIELD_STATUS_CODE]]=0),
DB_TBL_DATA_FIELDS[[#This Row],[FIELD_STATUS_CODE]],
"")
)</f>
        <v/>
      </c>
      <c r="Z51" s="7"/>
      <c r="AA51" s="11"/>
      <c r="AB51" s="11" t="s">
        <v>2442</v>
      </c>
      <c r="AC51" s="8" t="s">
        <v>2867</v>
      </c>
    </row>
    <row r="52" spans="1:29" x14ac:dyDescent="0.2">
      <c r="A52" s="19" t="s">
        <v>65</v>
      </c>
      <c r="B52" s="19" t="s">
        <v>64</v>
      </c>
      <c r="C52" s="16" t="str">
        <f ca="1">IF($H$10&lt;&gt;"R",IF(DB_TBL_DATA_FIELDS[[#This Row],[SHEET_REF_OWNER]]&lt;&gt;"",DB_TBL_DATA_FIELDS[[#This Row],[SHEET_REF_OWNER]],""),IF(DB_TBL_DATA_FIELDS[[#This Row],[SHEET_REF_RENTAL]]&lt;&gt;"",DB_TBL_DATA_FIELDS[[#This Row],[SHEET_REF_RENTAL]],""))</f>
        <v>RentalApp</v>
      </c>
      <c r="D52" s="4" t="s">
        <v>2482</v>
      </c>
      <c r="E52" s="4" t="b">
        <v>0</v>
      </c>
      <c r="F52" s="45" t="b">
        <v>0</v>
      </c>
      <c r="G52" s="6" t="s">
        <v>2493</v>
      </c>
      <c r="H52" s="11" t="b">
        <f ca="1">IFERROR(VLOOKUP(DB_TBL_DATA_FIELDS[[#This Row],[FIELD_ID]],INDIRECT(DB_TBL_DATA_FIELDS[[#This Row],[SHEET_REF_CALC]]&amp;"!A:B"),2,FALSE),"")</f>
        <v>0</v>
      </c>
      <c r="I52" s="33"/>
      <c r="J52" s="6" t="b">
        <f ca="1">(DB_TBL_DATA_FIELDS[[#This Row],[FIELD_VALUE_RAW]]="")</f>
        <v>0</v>
      </c>
      <c r="K52" s="6" t="s">
        <v>209</v>
      </c>
      <c r="L52" s="8" t="b">
        <f>AND(IF(DB_TBL_DATA_FIELDS[[#This Row],[FIELD_VALID_CUSTOM_LOGIC]]="",TRUE,DB_TBL_DATA_FIELDS[[#This Row],[FIELD_VALID_CUSTOM_LOGIC]]),DB_TBL_DATA_FIELDS[[#This Row],[RANGE_VALIDATION_PASSED_FLAG]])</f>
        <v>1</v>
      </c>
      <c r="M52"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v>
      </c>
      <c r="N52" s="8">
        <f ca="1">IF(DB_TBL_DATA_FIELDS[[#This Row],[SHEET_REF_CALC]]="","",IF(DB_TBL_DATA_FIELDS[[#This Row],[FIELD_EMPTY_FLAG]],IF(NOT(DB_TBL_DATA_FIELDS[[#This Row],[FIELD_REQ_FLAG]]),-1,1),IF(NOT(DB_TBL_DATA_FIELDS[[#This Row],[FIELD_VALID_FLAG]]),0,2)))</f>
        <v>2</v>
      </c>
      <c r="O52" s="8" t="str">
        <f ca="1">IFERROR(VLOOKUP(DB_TBL_DATA_FIELDS[[#This Row],[FIELD_STATUS_CODE]],DB_TBL_CONFIG_FIELDSTATUSCODES[#All],3,FALSE),"")</f>
        <v>OK</v>
      </c>
      <c r="P52" s="8" t="str">
        <f ca="1">IFERROR(VLOOKUP(DB_TBL_DATA_FIELDS[[#This Row],[FIELD_STATUS_CODE]],DB_TBL_CONFIG_FIELDSTATUSCODES[#All],4,FALSE),"")</f>
        <v>a</v>
      </c>
      <c r="Q52" s="8" t="b">
        <f>TRUE</f>
        <v>1</v>
      </c>
      <c r="R52" s="8" t="b">
        <v>0</v>
      </c>
      <c r="S52" s="4"/>
      <c r="T52" s="8">
        <f ca="1">IF(DB_TBL_DATA_FIELDS[[#This Row],[RANGE_VALIDATION_FLAG]]="Text",LEN(DB_TBL_DATA_FIELDS[[#This Row],[FIELD_VALUE_RAW]]),IFERROR(VALUE(DB_TBL_DATA_FIELDS[[#This Row],[FIELD_VALUE_RAW]]),-1))</f>
        <v>-1</v>
      </c>
      <c r="U52" s="8">
        <v>0</v>
      </c>
      <c r="V52" s="8">
        <v>1</v>
      </c>
      <c r="W52" s="8" t="b">
        <f>IF(NOT(DB_TBL_DATA_FIELDS[[#This Row],[RANGE_VALIDATION_ON_FLAG]]),TRUE,
AND(DB_TBL_DATA_FIELDS[[#This Row],[RANGE_VALUE_LEN]]&gt;=DB_TBL_DATA_FIELDS[[#This Row],[RANGE_VALIDATION_MIN]],DB_TBL_DATA_FIELDS[[#This Row],[RANGE_VALUE_LEN]]&lt;=DB_TBL_DATA_FIELDS[[#This Row],[RANGE_VALIDATION_MAX]]))</f>
        <v>1</v>
      </c>
      <c r="X52" s="7">
        <v>0</v>
      </c>
      <c r="Y52" s="7" t="str">
        <f ca="1">IF(DB_TBL_DATA_FIELDS[[#This Row],[PCT_CALC_SHOW_STATUS_CODE]]=1,
DB_TBL_DATA_FIELDS[[#This Row],[FIELD_STATUS_CODE]],
IF(AND(DB_TBL_DATA_FIELDS[[#This Row],[PCT_CALC_SHOW_STATUS_CODE]]=2,DB_TBL_DATA_FIELDS[[#This Row],[FIELD_STATUS_CODE]]=0),
DB_TBL_DATA_FIELDS[[#This Row],[FIELD_STATUS_CODE]],
"")
)</f>
        <v/>
      </c>
      <c r="Z52" s="7"/>
      <c r="AA52" s="11"/>
      <c r="AB52" s="11" t="s">
        <v>2442</v>
      </c>
      <c r="AC52" s="8" t="s">
        <v>2867</v>
      </c>
    </row>
    <row r="53" spans="1:29" x14ac:dyDescent="0.2">
      <c r="A53" s="19" t="s">
        <v>65</v>
      </c>
      <c r="B53" s="19" t="s">
        <v>64</v>
      </c>
      <c r="C53" s="16" t="str">
        <f ca="1">IF($H$10&lt;&gt;"R",IF(DB_TBL_DATA_FIELDS[[#This Row],[SHEET_REF_OWNER]]&lt;&gt;"",DB_TBL_DATA_FIELDS[[#This Row],[SHEET_REF_OWNER]],""),IF(DB_TBL_DATA_FIELDS[[#This Row],[SHEET_REF_RENTAL]]&lt;&gt;"",DB_TBL_DATA_FIELDS[[#This Row],[SHEET_REF_RENTAL]],""))</f>
        <v>RentalApp</v>
      </c>
      <c r="D53" s="4" t="s">
        <v>2483</v>
      </c>
      <c r="E53" s="4" t="b">
        <v>0</v>
      </c>
      <c r="F53" s="45" t="b">
        <v>0</v>
      </c>
      <c r="G53" s="6" t="s">
        <v>2494</v>
      </c>
      <c r="H53" s="11" t="b">
        <f ca="1">IFERROR(VLOOKUP(DB_TBL_DATA_FIELDS[[#This Row],[FIELD_ID]],INDIRECT(DB_TBL_DATA_FIELDS[[#This Row],[SHEET_REF_CALC]]&amp;"!A:B"),2,FALSE),"")</f>
        <v>0</v>
      </c>
      <c r="I53" s="33"/>
      <c r="J53" s="6" t="b">
        <f ca="1">(DB_TBL_DATA_FIELDS[[#This Row],[FIELD_VALUE_RAW]]="")</f>
        <v>0</v>
      </c>
      <c r="K53" s="6" t="s">
        <v>209</v>
      </c>
      <c r="L53" s="8" t="b">
        <f>AND(IF(DB_TBL_DATA_FIELDS[[#This Row],[FIELD_VALID_CUSTOM_LOGIC]]="",TRUE,DB_TBL_DATA_FIELDS[[#This Row],[FIELD_VALID_CUSTOM_LOGIC]]),DB_TBL_DATA_FIELDS[[#This Row],[RANGE_VALIDATION_PASSED_FLAG]])</f>
        <v>1</v>
      </c>
      <c r="M53"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v>
      </c>
      <c r="N53" s="8">
        <f ca="1">IF(DB_TBL_DATA_FIELDS[[#This Row],[SHEET_REF_CALC]]="","",IF(DB_TBL_DATA_FIELDS[[#This Row],[FIELD_EMPTY_FLAG]],IF(NOT(DB_TBL_DATA_FIELDS[[#This Row],[FIELD_REQ_FLAG]]),-1,1),IF(NOT(DB_TBL_DATA_FIELDS[[#This Row],[FIELD_VALID_FLAG]]),0,2)))</f>
        <v>2</v>
      </c>
      <c r="O53" s="8" t="str">
        <f ca="1">IFERROR(VLOOKUP(DB_TBL_DATA_FIELDS[[#This Row],[FIELD_STATUS_CODE]],DB_TBL_CONFIG_FIELDSTATUSCODES[#All],3,FALSE),"")</f>
        <v>OK</v>
      </c>
      <c r="P53" s="8" t="str">
        <f ca="1">IFERROR(VLOOKUP(DB_TBL_DATA_FIELDS[[#This Row],[FIELD_STATUS_CODE]],DB_TBL_CONFIG_FIELDSTATUSCODES[#All],4,FALSE),"")</f>
        <v>a</v>
      </c>
      <c r="Q53" s="8" t="b">
        <f>TRUE</f>
        <v>1</v>
      </c>
      <c r="R53" s="8" t="b">
        <v>0</v>
      </c>
      <c r="S53" s="4"/>
      <c r="T53" s="8">
        <f ca="1">IF(DB_TBL_DATA_FIELDS[[#This Row],[RANGE_VALIDATION_FLAG]]="Text",LEN(DB_TBL_DATA_FIELDS[[#This Row],[FIELD_VALUE_RAW]]),IFERROR(VALUE(DB_TBL_DATA_FIELDS[[#This Row],[FIELD_VALUE_RAW]]),-1))</f>
        <v>-1</v>
      </c>
      <c r="U53" s="8">
        <v>0</v>
      </c>
      <c r="V53" s="8">
        <v>1</v>
      </c>
      <c r="W53" s="8" t="b">
        <f>IF(NOT(DB_TBL_DATA_FIELDS[[#This Row],[RANGE_VALIDATION_ON_FLAG]]),TRUE,
AND(DB_TBL_DATA_FIELDS[[#This Row],[RANGE_VALUE_LEN]]&gt;=DB_TBL_DATA_FIELDS[[#This Row],[RANGE_VALIDATION_MIN]],DB_TBL_DATA_FIELDS[[#This Row],[RANGE_VALUE_LEN]]&lt;=DB_TBL_DATA_FIELDS[[#This Row],[RANGE_VALIDATION_MAX]]))</f>
        <v>1</v>
      </c>
      <c r="X53" s="7">
        <v>0</v>
      </c>
      <c r="Y53" s="7" t="str">
        <f ca="1">IF(DB_TBL_DATA_FIELDS[[#This Row],[PCT_CALC_SHOW_STATUS_CODE]]=1,
DB_TBL_DATA_FIELDS[[#This Row],[FIELD_STATUS_CODE]],
IF(AND(DB_TBL_DATA_FIELDS[[#This Row],[PCT_CALC_SHOW_STATUS_CODE]]=2,DB_TBL_DATA_FIELDS[[#This Row],[FIELD_STATUS_CODE]]=0),
DB_TBL_DATA_FIELDS[[#This Row],[FIELD_STATUS_CODE]],
"")
)</f>
        <v/>
      </c>
      <c r="Z53" s="7"/>
      <c r="AA53" s="11"/>
      <c r="AB53" s="11" t="s">
        <v>2442</v>
      </c>
      <c r="AC53" s="8" t="s">
        <v>2867</v>
      </c>
    </row>
    <row r="54" spans="1:29" x14ac:dyDescent="0.2">
      <c r="A54" s="19" t="s">
        <v>65</v>
      </c>
      <c r="B54" s="19" t="s">
        <v>64</v>
      </c>
      <c r="C54" s="16" t="str">
        <f ca="1">IF($H$10&lt;&gt;"R",IF(DB_TBL_DATA_FIELDS[[#This Row],[SHEET_REF_OWNER]]&lt;&gt;"",DB_TBL_DATA_FIELDS[[#This Row],[SHEET_REF_OWNER]],""),IF(DB_TBL_DATA_FIELDS[[#This Row],[SHEET_REF_RENTAL]]&lt;&gt;"",DB_TBL_DATA_FIELDS[[#This Row],[SHEET_REF_RENTAL]],""))</f>
        <v>RentalApp</v>
      </c>
      <c r="D54" s="4" t="s">
        <v>2484</v>
      </c>
      <c r="E54" s="4" t="b">
        <v>0</v>
      </c>
      <c r="F54" s="45" t="b">
        <v>0</v>
      </c>
      <c r="G54" s="6" t="s">
        <v>2495</v>
      </c>
      <c r="H54" s="11" t="b">
        <f ca="1">IFERROR(VLOOKUP(DB_TBL_DATA_FIELDS[[#This Row],[FIELD_ID]],INDIRECT(DB_TBL_DATA_FIELDS[[#This Row],[SHEET_REF_CALC]]&amp;"!A:B"),2,FALSE),"")</f>
        <v>0</v>
      </c>
      <c r="I54" s="33"/>
      <c r="J54" s="6" t="b">
        <f ca="1">(DB_TBL_DATA_FIELDS[[#This Row],[FIELD_VALUE_RAW]]="")</f>
        <v>0</v>
      </c>
      <c r="K54" s="6" t="s">
        <v>209</v>
      </c>
      <c r="L54" s="8" t="b">
        <f>AND(IF(DB_TBL_DATA_FIELDS[[#This Row],[FIELD_VALID_CUSTOM_LOGIC]]="",TRUE,DB_TBL_DATA_FIELDS[[#This Row],[FIELD_VALID_CUSTOM_LOGIC]]),DB_TBL_DATA_FIELDS[[#This Row],[RANGE_VALIDATION_PASSED_FLAG]])</f>
        <v>1</v>
      </c>
      <c r="M54"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v>
      </c>
      <c r="N54" s="8">
        <f ca="1">IF(DB_TBL_DATA_FIELDS[[#This Row],[SHEET_REF_CALC]]="","",IF(DB_TBL_DATA_FIELDS[[#This Row],[FIELD_EMPTY_FLAG]],IF(NOT(DB_TBL_DATA_FIELDS[[#This Row],[FIELD_REQ_FLAG]]),-1,1),IF(NOT(DB_TBL_DATA_FIELDS[[#This Row],[FIELD_VALID_FLAG]]),0,2)))</f>
        <v>2</v>
      </c>
      <c r="O54" s="8" t="str">
        <f ca="1">IFERROR(VLOOKUP(DB_TBL_DATA_FIELDS[[#This Row],[FIELD_STATUS_CODE]],DB_TBL_CONFIG_FIELDSTATUSCODES[#All],3,FALSE),"")</f>
        <v>OK</v>
      </c>
      <c r="P54" s="8" t="str">
        <f ca="1">IFERROR(VLOOKUP(DB_TBL_DATA_FIELDS[[#This Row],[FIELD_STATUS_CODE]],DB_TBL_CONFIG_FIELDSTATUSCODES[#All],4,FALSE),"")</f>
        <v>a</v>
      </c>
      <c r="Q54" s="8" t="b">
        <f>TRUE</f>
        <v>1</v>
      </c>
      <c r="R54" s="8" t="b">
        <v>0</v>
      </c>
      <c r="S54" s="4"/>
      <c r="T54" s="8">
        <f ca="1">IF(DB_TBL_DATA_FIELDS[[#This Row],[RANGE_VALIDATION_FLAG]]="Text",LEN(DB_TBL_DATA_FIELDS[[#This Row],[FIELD_VALUE_RAW]]),IFERROR(VALUE(DB_TBL_DATA_FIELDS[[#This Row],[FIELD_VALUE_RAW]]),-1))</f>
        <v>-1</v>
      </c>
      <c r="U54" s="8">
        <v>0</v>
      </c>
      <c r="V54" s="8">
        <v>1</v>
      </c>
      <c r="W54" s="8" t="b">
        <f>IF(NOT(DB_TBL_DATA_FIELDS[[#This Row],[RANGE_VALIDATION_ON_FLAG]]),TRUE,
AND(DB_TBL_DATA_FIELDS[[#This Row],[RANGE_VALUE_LEN]]&gt;=DB_TBL_DATA_FIELDS[[#This Row],[RANGE_VALIDATION_MIN]],DB_TBL_DATA_FIELDS[[#This Row],[RANGE_VALUE_LEN]]&lt;=DB_TBL_DATA_FIELDS[[#This Row],[RANGE_VALIDATION_MAX]]))</f>
        <v>1</v>
      </c>
      <c r="X54" s="7">
        <v>0</v>
      </c>
      <c r="Y54" s="7" t="str">
        <f ca="1">IF(DB_TBL_DATA_FIELDS[[#This Row],[PCT_CALC_SHOW_STATUS_CODE]]=1,
DB_TBL_DATA_FIELDS[[#This Row],[FIELD_STATUS_CODE]],
IF(AND(DB_TBL_DATA_FIELDS[[#This Row],[PCT_CALC_SHOW_STATUS_CODE]]=2,DB_TBL_DATA_FIELDS[[#This Row],[FIELD_STATUS_CODE]]=0),
DB_TBL_DATA_FIELDS[[#This Row],[FIELD_STATUS_CODE]],
"")
)</f>
        <v/>
      </c>
      <c r="Z54" s="7"/>
      <c r="AA54" s="11"/>
      <c r="AB54" s="11" t="s">
        <v>2442</v>
      </c>
      <c r="AC54" s="8" t="s">
        <v>2867</v>
      </c>
    </row>
    <row r="55" spans="1:29" x14ac:dyDescent="0.2">
      <c r="A55" s="19" t="s">
        <v>65</v>
      </c>
      <c r="B55" s="19" t="s">
        <v>64</v>
      </c>
      <c r="C55" s="16" t="str">
        <f ca="1">IF($H$10&lt;&gt;"R",IF(DB_TBL_DATA_FIELDS[[#This Row],[SHEET_REF_OWNER]]&lt;&gt;"",DB_TBL_DATA_FIELDS[[#This Row],[SHEET_REF_OWNER]],""),IF(DB_TBL_DATA_FIELDS[[#This Row],[SHEET_REF_RENTAL]]&lt;&gt;"",DB_TBL_DATA_FIELDS[[#This Row],[SHEET_REF_RENTAL]],""))</f>
        <v>RentalApp</v>
      </c>
      <c r="D55" s="4" t="s">
        <v>2485</v>
      </c>
      <c r="E55" s="4" t="b">
        <v>1</v>
      </c>
      <c r="F55" s="45" t="b">
        <v>0</v>
      </c>
      <c r="G55" s="6" t="s">
        <v>2496</v>
      </c>
      <c r="H55" s="29" t="str">
        <f ca="1">IFERROR(MID(
IF(H45,","&amp;MID(D45,16,2000),"") &amp;
IF(H46,","&amp;MID(D46,16,2000),"") &amp;
IF(H47,","&amp;MID(D47,16,2000),"") &amp;
IF(H48,","&amp;MID(D48,16,2000),"") &amp;
IF(H49,","&amp;MID(D49,16,2000),"") &amp;
IF(H50,","&amp;MID(D50,16,2000),"") &amp;
IF(H51,","&amp;MID(D51,16,2000),"") &amp;
IF(H52,","&amp;MID(D52,16,2000),"") &amp;
IF(H53,","&amp;MID(D53,16,2000),"") &amp;
IF(H54,","&amp;MID(D54,16,2000),""),2,2000),"")</f>
        <v/>
      </c>
      <c r="I55" s="33"/>
      <c r="J55" s="6" t="b">
        <f ca="1">(DB_TBL_DATA_FIELDS[[#This Row],[FIELD_VALUE_RAW]]="")</f>
        <v>1</v>
      </c>
      <c r="K55" s="6" t="s">
        <v>11</v>
      </c>
      <c r="L55" s="8" t="b">
        <f ca="1">AND(IF(DB_TBL_DATA_FIELDS[[#This Row],[FIELD_VALID_CUSTOM_LOGIC]]="",TRUE,DB_TBL_DATA_FIELDS[[#This Row],[FIELD_VALID_CUSTOM_LOGIC]]),DB_TBL_DATA_FIELDS[[#This Row],[RANGE_VALIDATION_PASSED_FLAG]])</f>
        <v>1</v>
      </c>
      <c r="M55"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5" s="8">
        <f ca="1">IF(DB_TBL_DATA_FIELDS[[#This Row],[SHEET_REF_CALC]]="","",IF(DB_TBL_DATA_FIELDS[[#This Row],[FIELD_EMPTY_FLAG]],IF(NOT(DB_TBL_DATA_FIELDS[[#This Row],[FIELD_REQ_FLAG]]),-1,1),IF(NOT(DB_TBL_DATA_FIELDS[[#This Row],[FIELD_VALID_FLAG]]),0,2)))</f>
        <v>-1</v>
      </c>
      <c r="O55" s="8" t="str">
        <f ca="1">IFERROR(VLOOKUP(DB_TBL_DATA_FIELDS[[#This Row],[FIELD_STATUS_CODE]],DB_TBL_CONFIG_FIELDSTATUSCODES[#All],3,FALSE),"")</f>
        <v>Optional</v>
      </c>
      <c r="P55" s="8" t="str">
        <f ca="1">IFERROR(VLOOKUP(DB_TBL_DATA_FIELDS[[#This Row],[FIELD_STATUS_CODE]],DB_TBL_CONFIG_FIELDSTATUSCODES[#All],4,FALSE),"")</f>
        <v xml:space="preserve"> </v>
      </c>
      <c r="Q55" s="8" t="b">
        <f>TRUE</f>
        <v>1</v>
      </c>
      <c r="R55" s="8" t="b">
        <f>TRUE</f>
        <v>1</v>
      </c>
      <c r="S55" s="4" t="s">
        <v>11</v>
      </c>
      <c r="T55" s="8">
        <f ca="1">IF(DB_TBL_DATA_FIELDS[[#This Row],[RANGE_VALIDATION_FLAG]]="Text",LEN(DB_TBL_DATA_FIELDS[[#This Row],[FIELD_VALUE_RAW]]),IFERROR(VALUE(DB_TBL_DATA_FIELDS[[#This Row],[FIELD_VALUE_RAW]]),-1))</f>
        <v>0</v>
      </c>
      <c r="U55" s="8">
        <v>0</v>
      </c>
      <c r="V55" s="8">
        <v>100</v>
      </c>
      <c r="W55" s="8" t="b">
        <f ca="1">IF(NOT(DB_TBL_DATA_FIELDS[[#This Row],[RANGE_VALIDATION_ON_FLAG]]),TRUE,
AND(DB_TBL_DATA_FIELDS[[#This Row],[RANGE_VALUE_LEN]]&gt;=DB_TBL_DATA_FIELDS[[#This Row],[RANGE_VALIDATION_MIN]],DB_TBL_DATA_FIELDS[[#This Row],[RANGE_VALUE_LEN]]&lt;=DB_TBL_DATA_FIELDS[[#This Row],[RANGE_VALIDATION_MAX]]))</f>
        <v>1</v>
      </c>
      <c r="X55" s="7">
        <v>1</v>
      </c>
      <c r="Y55" s="7">
        <f ca="1">IF(DB_TBL_DATA_FIELDS[[#This Row],[PCT_CALC_SHOW_STATUS_CODE]]=1,
DB_TBL_DATA_FIELDS[[#This Row],[FIELD_STATUS_CODE]],
IF(AND(DB_TBL_DATA_FIELDS[[#This Row],[PCT_CALC_SHOW_STATUS_CODE]]=2,DB_TBL_DATA_FIELDS[[#This Row],[FIELD_STATUS_CODE]]=0),
DB_TBL_DATA_FIELDS[[#This Row],[FIELD_STATUS_CODE]],
"")
)</f>
        <v>-1</v>
      </c>
      <c r="Z55" s="7"/>
      <c r="AA55" s="11" t="s">
        <v>2458</v>
      </c>
      <c r="AB55" s="11" t="s">
        <v>2442</v>
      </c>
      <c r="AC55" s="8"/>
    </row>
    <row r="56" spans="1:29" x14ac:dyDescent="0.2">
      <c r="A56" s="19" t="s">
        <v>65</v>
      </c>
      <c r="B56" s="19" t="s">
        <v>64</v>
      </c>
      <c r="C56" s="16" t="str">
        <f ca="1">IF($H$10&lt;&gt;"R",IF(DB_TBL_DATA_FIELDS[[#This Row],[SHEET_REF_OWNER]]&lt;&gt;"",DB_TBL_DATA_FIELDS[[#This Row],[SHEET_REF_OWNER]],""),IF(DB_TBL_DATA_FIELDS[[#This Row],[SHEET_REF_RENTAL]]&lt;&gt;"",DB_TBL_DATA_FIELDS[[#This Row],[SHEET_REF_RENTAL]],""))</f>
        <v>RentalApp</v>
      </c>
      <c r="D56" s="4" t="s">
        <v>2454</v>
      </c>
      <c r="E56" s="4" t="b">
        <v>1</v>
      </c>
      <c r="F56" s="41" t="b">
        <f ca="1">NOT(J55)</f>
        <v>0</v>
      </c>
      <c r="G56" s="6" t="s">
        <v>2456</v>
      </c>
      <c r="H56" s="29" t="str">
        <f ca="1">IFERROR(ROUND(VLOOKUP(DB_TBL_DATA_FIELDS[[#This Row],[FIELD_ID]],INDIRECT(DB_TBL_DATA_FIELDS[[#This Row],[SHEET_REF_CALC]]&amp;"!A:B"),2,FALSE),0),"")</f>
        <v/>
      </c>
      <c r="I56" s="29" t="str">
        <f ca="1">IF(DB_TBL_DATA_FIELDS[[#This Row],[FIELD_EMPTY_FLAG]],"",NOT(J55))</f>
        <v/>
      </c>
      <c r="J56" s="6" t="b">
        <f ca="1">(DB_TBL_DATA_FIELDS[[#This Row],[FIELD_VALUE_RAW]]="")</f>
        <v>1</v>
      </c>
      <c r="K56" s="6" t="s">
        <v>62</v>
      </c>
      <c r="L56" s="8" t="b">
        <f ca="1">AND(IF(DB_TBL_DATA_FIELDS[[#This Row],[FIELD_VALID_CUSTOM_LOGIC]]="",TRUE,DB_TBL_DATA_FIELDS[[#This Row],[FIELD_VALID_CUSTOM_LOGIC]]),DB_TBL_DATA_FIELDS[[#This Row],[RANGE_VALIDATION_PASSED_FLAG]])</f>
        <v>0</v>
      </c>
      <c r="M56"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6" s="8">
        <f ca="1">IF(DB_TBL_DATA_FIELDS[[#This Row],[SHEET_REF_CALC]]="","",IF(DB_TBL_DATA_FIELDS[[#This Row],[FIELD_EMPTY_FLAG]],IF(NOT(DB_TBL_DATA_FIELDS[[#This Row],[FIELD_REQ_FLAG]]),-1,1),IF(NOT(DB_TBL_DATA_FIELDS[[#This Row],[FIELD_VALID_FLAG]]),0,2)))</f>
        <v>-1</v>
      </c>
      <c r="O56" s="8" t="str">
        <f ca="1">IFERROR(VLOOKUP(DB_TBL_DATA_FIELDS[[#This Row],[FIELD_STATUS_CODE]],DB_TBL_CONFIG_FIELDSTATUSCODES[#All],3,FALSE),"")</f>
        <v>Optional</v>
      </c>
      <c r="P56" s="8" t="str">
        <f ca="1">IFERROR(VLOOKUP(DB_TBL_DATA_FIELDS[[#This Row],[FIELD_STATUS_CODE]],DB_TBL_CONFIG_FIELDSTATUSCODES[#All],4,FALSE),"")</f>
        <v xml:space="preserve"> </v>
      </c>
      <c r="Q56" s="8" t="b">
        <f>TRUE</f>
        <v>1</v>
      </c>
      <c r="R56" s="8" t="b">
        <f>TRUE</f>
        <v>1</v>
      </c>
      <c r="S56" s="4" t="s">
        <v>62</v>
      </c>
      <c r="T56" s="8">
        <f ca="1">IF(DB_TBL_DATA_FIELDS[[#This Row],[RANGE_VALIDATION_FLAG]]="Text",LEN(DB_TBL_DATA_FIELDS[[#This Row],[FIELD_VALUE_RAW]]),IFERROR(VALUE(DB_TBL_DATA_FIELDS[[#This Row],[FIELD_VALUE_RAW]]),-1))</f>
        <v>-1</v>
      </c>
      <c r="U56" s="8">
        <v>1</v>
      </c>
      <c r="V56" s="8">
        <v>999999999999</v>
      </c>
      <c r="W56" s="8" t="b">
        <f ca="1">IF(NOT(DB_TBL_DATA_FIELDS[[#This Row],[RANGE_VALIDATION_ON_FLAG]]),TRUE,
AND(DB_TBL_DATA_FIELDS[[#This Row],[RANGE_VALUE_LEN]]&gt;=DB_TBL_DATA_FIELDS[[#This Row],[RANGE_VALIDATION_MIN]],DB_TBL_DATA_FIELDS[[#This Row],[RANGE_VALUE_LEN]]&lt;=DB_TBL_DATA_FIELDS[[#This Row],[RANGE_VALIDATION_MAX]]))</f>
        <v>0</v>
      </c>
      <c r="X56" s="16">
        <v>1</v>
      </c>
      <c r="Y56" s="8">
        <f ca="1">IF(DB_TBL_DATA_FIELDS[[#This Row],[PCT_CALC_SHOW_STATUS_CODE]]=1,
DB_TBL_DATA_FIELDS[[#This Row],[FIELD_STATUS_CODE]],
IF(AND(DB_TBL_DATA_FIELDS[[#This Row],[PCT_CALC_SHOW_STATUS_CODE]]=2,DB_TBL_DATA_FIELDS[[#This Row],[FIELD_STATUS_CODE]]=0),
DB_TBL_DATA_FIELDS[[#This Row],[FIELD_STATUS_CODE]],
"")
)</f>
        <v>-1</v>
      </c>
      <c r="Z56" s="8"/>
      <c r="AA56" s="11" t="s">
        <v>2459</v>
      </c>
      <c r="AB56" s="11" t="s">
        <v>2442</v>
      </c>
      <c r="AC56" s="8"/>
    </row>
    <row r="57" spans="1:29" ht="13.5" thickBot="1" x14ac:dyDescent="0.25">
      <c r="A57" s="75" t="s">
        <v>65</v>
      </c>
      <c r="B57" s="75" t="s">
        <v>64</v>
      </c>
      <c r="C57" s="69" t="str">
        <f ca="1">IF($H$10&lt;&gt;"R",IF(DB_TBL_DATA_FIELDS[[#This Row],[SHEET_REF_OWNER]]&lt;&gt;"",DB_TBL_DATA_FIELDS[[#This Row],[SHEET_REF_OWNER]],""),IF(DB_TBL_DATA_FIELDS[[#This Row],[SHEET_REF_RENTAL]]&lt;&gt;"",DB_TBL_DATA_FIELDS[[#This Row],[SHEET_REF_RENTAL]],""))</f>
        <v>RentalApp</v>
      </c>
      <c r="D57" s="67" t="s">
        <v>2455</v>
      </c>
      <c r="E57" s="67" t="b">
        <v>1</v>
      </c>
      <c r="F57" s="80" t="b">
        <f ca="1">NOT(J55)</f>
        <v>0</v>
      </c>
      <c r="G57" s="72" t="s">
        <v>2457</v>
      </c>
      <c r="H57" s="73" t="str">
        <f ca="1">IFERROR(VLOOKUP(DB_TBL_DATA_FIELDS[[#This Row],[FIELD_ID]],INDIRECT(DB_TBL_DATA_FIELDS[[#This Row],[SHEET_REF_CALC]]&amp;"!A:B"),2,FALSE),"")</f>
        <v/>
      </c>
      <c r="I57" s="76" t="str">
        <f ca="1">IF(DB_TBL_DATA_FIELDS[[#This Row],[FIELD_EMPTY_FLAG]],"",NOT(J55))</f>
        <v/>
      </c>
      <c r="J57" s="72" t="b">
        <f ca="1">(DB_TBL_DATA_FIELDS[[#This Row],[FIELD_VALUE_RAW]]="")</f>
        <v>1</v>
      </c>
      <c r="K57" s="72" t="s">
        <v>11</v>
      </c>
      <c r="L57" s="68" t="b">
        <f ca="1">AND(IF(DB_TBL_DATA_FIELDS[[#This Row],[FIELD_VALID_CUSTOM_LOGIC]]="",TRUE,DB_TBL_DATA_FIELDS[[#This Row],[FIELD_VALID_CUSTOM_LOGIC]]),DB_TBL_DATA_FIELDS[[#This Row],[RANGE_VALIDATION_PASSED_FLAG]])</f>
        <v>1</v>
      </c>
      <c r="M57" s="7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7" s="68">
        <f ca="1">IF(DB_TBL_DATA_FIELDS[[#This Row],[SHEET_REF_CALC]]="","",IF(DB_TBL_DATA_FIELDS[[#This Row],[FIELD_EMPTY_FLAG]],IF(NOT(DB_TBL_DATA_FIELDS[[#This Row],[FIELD_REQ_FLAG]]),-1,1),IF(NOT(DB_TBL_DATA_FIELDS[[#This Row],[FIELD_VALID_FLAG]]),0,2)))</f>
        <v>-1</v>
      </c>
      <c r="O57" s="68" t="str">
        <f ca="1">IFERROR(VLOOKUP(DB_TBL_DATA_FIELDS[[#This Row],[FIELD_STATUS_CODE]],DB_TBL_CONFIG_FIELDSTATUSCODES[#All],3,FALSE),"")</f>
        <v>Optional</v>
      </c>
      <c r="P57" s="68" t="str">
        <f ca="1">IFERROR(VLOOKUP(DB_TBL_DATA_FIELDS[[#This Row],[FIELD_STATUS_CODE]],DB_TBL_CONFIG_FIELDSTATUSCODES[#All],4,FALSE),"")</f>
        <v xml:space="preserve"> </v>
      </c>
      <c r="Q57" s="68" t="b">
        <f>TRUE</f>
        <v>1</v>
      </c>
      <c r="R57" s="68" t="b">
        <f>TRUE</f>
        <v>1</v>
      </c>
      <c r="S57" s="67" t="s">
        <v>11</v>
      </c>
      <c r="T57" s="68">
        <f ca="1">IF(DB_TBL_DATA_FIELDS[[#This Row],[RANGE_VALIDATION_FLAG]]="Text",LEN(DB_TBL_DATA_FIELDS[[#This Row],[FIELD_VALUE_RAW]]),IFERROR(VALUE(DB_TBL_DATA_FIELDS[[#This Row],[FIELD_VALUE_RAW]]),-1))</f>
        <v>0</v>
      </c>
      <c r="U57" s="68">
        <v>0</v>
      </c>
      <c r="V57" s="81">
        <v>100</v>
      </c>
      <c r="W57" s="68" t="b">
        <f ca="1">IF(NOT(DB_TBL_DATA_FIELDS[[#This Row],[RANGE_VALIDATION_ON_FLAG]]),TRUE,
AND(DB_TBL_DATA_FIELDS[[#This Row],[RANGE_VALUE_LEN]]&gt;=DB_TBL_DATA_FIELDS[[#This Row],[RANGE_VALIDATION_MIN]],DB_TBL_DATA_FIELDS[[#This Row],[RANGE_VALUE_LEN]]&lt;=DB_TBL_DATA_FIELDS[[#This Row],[RANGE_VALIDATION_MAX]]))</f>
        <v>1</v>
      </c>
      <c r="X57" s="69">
        <v>1</v>
      </c>
      <c r="Y57" s="68">
        <f ca="1">IF(DB_TBL_DATA_FIELDS[[#This Row],[PCT_CALC_SHOW_STATUS_CODE]]=1,
DB_TBL_DATA_FIELDS[[#This Row],[FIELD_STATUS_CODE]],
IF(AND(DB_TBL_DATA_FIELDS[[#This Row],[PCT_CALC_SHOW_STATUS_CODE]]=2,DB_TBL_DATA_FIELDS[[#This Row],[FIELD_STATUS_CODE]]=0),
DB_TBL_DATA_FIELDS[[#This Row],[FIELD_STATUS_CODE]],
"")
)</f>
        <v>-1</v>
      </c>
      <c r="Z57" s="68"/>
      <c r="AA57" s="73" t="s">
        <v>2460</v>
      </c>
      <c r="AB57" s="73" t="s">
        <v>2442</v>
      </c>
      <c r="AC57" s="68"/>
    </row>
    <row r="58" spans="1:29" x14ac:dyDescent="0.2">
      <c r="A58" s="4" t="s">
        <v>65</v>
      </c>
      <c r="B58" s="4" t="s">
        <v>64</v>
      </c>
      <c r="C58" s="16" t="str">
        <f ca="1">IF($H$10&lt;&gt;"R",IF(DB_TBL_DATA_FIELDS[[#This Row],[SHEET_REF_OWNER]]&lt;&gt;"",DB_TBL_DATA_FIELDS[[#This Row],[SHEET_REF_OWNER]],""),IF(DB_TBL_DATA_FIELDS[[#This Row],[SHEET_REF_RENTAL]]&lt;&gt;"",DB_TBL_DATA_FIELDS[[#This Row],[SHEET_REF_RENTAL]],""))</f>
        <v>RentalApp</v>
      </c>
      <c r="D58" s="4" t="s">
        <v>2524</v>
      </c>
      <c r="E58" s="4" t="b">
        <v>1</v>
      </c>
      <c r="F58" s="25" t="b">
        <v>1</v>
      </c>
      <c r="G58" s="6" t="s">
        <v>2510</v>
      </c>
      <c r="H58" s="11" t="str">
        <f ca="1">IFERROR(VLOOKUP(DB_TBL_DATA_FIELDS[[#This Row],[FIELD_ID]],INDIRECT(DB_TBL_DATA_FIELDS[[#This Row],[SHEET_REF_CALC]]&amp;"!A:B"),2,FALSE),"")</f>
        <v/>
      </c>
      <c r="I58" s="11"/>
      <c r="J58" s="6" t="b">
        <f ca="1">(DB_TBL_DATA_FIELDS[[#This Row],[FIELD_VALUE_RAW]]="")</f>
        <v>1</v>
      </c>
      <c r="K58" s="6" t="s">
        <v>209</v>
      </c>
      <c r="L58" s="8" t="b">
        <f>AND(IF(DB_TBL_DATA_FIELDS[[#This Row],[FIELD_VALID_CUSTOM_LOGIC]]="",TRUE,DB_TBL_DATA_FIELDS[[#This Row],[FIELD_VALID_CUSTOM_LOGIC]]),DB_TBL_DATA_FIELDS[[#This Row],[RANGE_VALIDATION_PASSED_FLAG]])</f>
        <v>1</v>
      </c>
      <c r="M58"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8" s="8">
        <f ca="1">IF(DB_TBL_DATA_FIELDS[[#This Row],[SHEET_REF_CALC]]="","",IF(DB_TBL_DATA_FIELDS[[#This Row],[FIELD_EMPTY_FLAG]],IF(NOT(DB_TBL_DATA_FIELDS[[#This Row],[FIELD_REQ_FLAG]]),-1,1),IF(NOT(DB_TBL_DATA_FIELDS[[#This Row],[FIELD_VALID_FLAG]]),0,2)))</f>
        <v>1</v>
      </c>
      <c r="O58" s="8" t="str">
        <f ca="1">IFERROR(VLOOKUP(DB_TBL_DATA_FIELDS[[#This Row],[FIELD_STATUS_CODE]],DB_TBL_CONFIG_FIELDSTATUSCODES[#All],3,FALSE),"")</f>
        <v>Required</v>
      </c>
      <c r="P58" s="8" t="str">
        <f ca="1">IFERROR(VLOOKUP(DB_TBL_DATA_FIELDS[[#This Row],[FIELD_STATUS_CODE]],DB_TBL_CONFIG_FIELDSTATUSCODES[#All],4,FALSE),"")</f>
        <v>i</v>
      </c>
      <c r="Q58" s="8" t="b">
        <f>TRUE</f>
        <v>1</v>
      </c>
      <c r="R58" s="8" t="b">
        <v>0</v>
      </c>
      <c r="S58" s="4"/>
      <c r="T58" s="8">
        <f ca="1">IF(DB_TBL_DATA_FIELDS[[#This Row],[RANGE_VALIDATION_FLAG]]="Text",LEN(DB_TBL_DATA_FIELDS[[#This Row],[FIELD_VALUE_RAW]]),IFERROR(VALUE(DB_TBL_DATA_FIELDS[[#This Row],[FIELD_VALUE_RAW]]),-1))</f>
        <v>-1</v>
      </c>
      <c r="U58" s="8">
        <v>0</v>
      </c>
      <c r="V58" s="34">
        <v>1</v>
      </c>
      <c r="W58" s="8" t="b">
        <f>IF(NOT(DB_TBL_DATA_FIELDS[[#This Row],[RANGE_VALIDATION_ON_FLAG]]),TRUE,
AND(DB_TBL_DATA_FIELDS[[#This Row],[RANGE_VALUE_LEN]]&gt;=DB_TBL_DATA_FIELDS[[#This Row],[RANGE_VALIDATION_MIN]],DB_TBL_DATA_FIELDS[[#This Row],[RANGE_VALUE_LEN]]&lt;=DB_TBL_DATA_FIELDS[[#This Row],[RANGE_VALIDATION_MAX]]))</f>
        <v>1</v>
      </c>
      <c r="X58" s="8">
        <v>1</v>
      </c>
      <c r="Y58" s="8">
        <f ca="1">IF(DB_TBL_DATA_FIELDS[[#This Row],[PCT_CALC_SHOW_STATUS_CODE]]=1,
DB_TBL_DATA_FIELDS[[#This Row],[FIELD_STATUS_CODE]],
IF(AND(DB_TBL_DATA_FIELDS[[#This Row],[PCT_CALC_SHOW_STATUS_CODE]]=2,DB_TBL_DATA_FIELDS[[#This Row],[FIELD_STATUS_CODE]]=0),
DB_TBL_DATA_FIELDS[[#This Row],[FIELD_STATUS_CODE]],
"")
)</f>
        <v>1</v>
      </c>
      <c r="Z58" s="8"/>
      <c r="AA58" s="11" t="s">
        <v>2497</v>
      </c>
      <c r="AB58" s="11" t="s">
        <v>2498</v>
      </c>
      <c r="AC58" s="8"/>
    </row>
    <row r="59" spans="1:29" x14ac:dyDescent="0.2">
      <c r="A59" s="4" t="s">
        <v>65</v>
      </c>
      <c r="B59" s="4" t="s">
        <v>64</v>
      </c>
      <c r="C59" s="16" t="str">
        <f ca="1">IF($H$10&lt;&gt;"R",IF(DB_TBL_DATA_FIELDS[[#This Row],[SHEET_REF_OWNER]]&lt;&gt;"",DB_TBL_DATA_FIELDS[[#This Row],[SHEET_REF_OWNER]],""),IF(DB_TBL_DATA_FIELDS[[#This Row],[SHEET_REF_RENTAL]]&lt;&gt;"",DB_TBL_DATA_FIELDS[[#This Row],[SHEET_REF_RENTAL]],""))</f>
        <v>RentalApp</v>
      </c>
      <c r="D59" s="4" t="s">
        <v>2521</v>
      </c>
      <c r="E59" s="4" t="b">
        <v>0</v>
      </c>
      <c r="F59" s="25" t="b">
        <v>1</v>
      </c>
      <c r="G59" s="6" t="s">
        <v>2511</v>
      </c>
      <c r="H59" s="11" t="str">
        <f ca="1">IFERROR(VLOOKUP(DB_TBL_DATA_FIELDS[[#This Row],[FIELD_ID]],INDIRECT(DB_TBL_DATA_FIELDS[[#This Row],[SHEET_REF_CALC]]&amp;"!A:B"),2,FALSE),"")</f>
        <v/>
      </c>
      <c r="I59" s="11"/>
      <c r="J59" s="6" t="b">
        <f ca="1">(DB_TBL_DATA_FIELDS[[#This Row],[FIELD_VALUE_RAW]]="")</f>
        <v>1</v>
      </c>
      <c r="K59" s="6" t="s">
        <v>209</v>
      </c>
      <c r="L59" s="8" t="b">
        <f>AND(IF(DB_TBL_DATA_FIELDS[[#This Row],[FIELD_VALID_CUSTOM_LOGIC]]="",TRUE,DB_TBL_DATA_FIELDS[[#This Row],[FIELD_VALID_CUSTOM_LOGIC]]),DB_TBL_DATA_FIELDS[[#This Row],[RANGE_VALIDATION_PASSED_FLAG]])</f>
        <v>1</v>
      </c>
      <c r="M59"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9" s="8">
        <f ca="1">IF(DB_TBL_DATA_FIELDS[[#This Row],[SHEET_REF_CALC]]="","",IF(DB_TBL_DATA_FIELDS[[#This Row],[FIELD_EMPTY_FLAG]],IF(NOT(DB_TBL_DATA_FIELDS[[#This Row],[FIELD_REQ_FLAG]]),-1,1),IF(NOT(DB_TBL_DATA_FIELDS[[#This Row],[FIELD_VALID_FLAG]]),0,2)))</f>
        <v>1</v>
      </c>
      <c r="O59" s="8" t="str">
        <f ca="1">IFERROR(VLOOKUP(DB_TBL_DATA_FIELDS[[#This Row],[FIELD_STATUS_CODE]],DB_TBL_CONFIG_FIELDSTATUSCODES[#All],3,FALSE),"")</f>
        <v>Required</v>
      </c>
      <c r="P59" s="8" t="str">
        <f ca="1">IFERROR(VLOOKUP(DB_TBL_DATA_FIELDS[[#This Row],[FIELD_STATUS_CODE]],DB_TBL_CONFIG_FIELDSTATUSCODES[#All],4,FALSE),"")</f>
        <v>i</v>
      </c>
      <c r="Q59" s="8" t="b">
        <f>TRUE</f>
        <v>1</v>
      </c>
      <c r="R59" s="8" t="b">
        <v>0</v>
      </c>
      <c r="S59" s="4"/>
      <c r="T59" s="8">
        <f ca="1">IF(DB_TBL_DATA_FIELDS[[#This Row],[RANGE_VALIDATION_FLAG]]="Text",LEN(DB_TBL_DATA_FIELDS[[#This Row],[FIELD_VALUE_RAW]]),IFERROR(VALUE(DB_TBL_DATA_FIELDS[[#This Row],[FIELD_VALUE_RAW]]),-1))</f>
        <v>-1</v>
      </c>
      <c r="U59" s="8">
        <v>0</v>
      </c>
      <c r="V59" s="34">
        <v>1</v>
      </c>
      <c r="W59" s="8" t="b">
        <f>IF(NOT(DB_TBL_DATA_FIELDS[[#This Row],[RANGE_VALIDATION_ON_FLAG]]),TRUE,
AND(DB_TBL_DATA_FIELDS[[#This Row],[RANGE_VALUE_LEN]]&gt;=DB_TBL_DATA_FIELDS[[#This Row],[RANGE_VALIDATION_MIN]],DB_TBL_DATA_FIELDS[[#This Row],[RANGE_VALUE_LEN]]&lt;=DB_TBL_DATA_FIELDS[[#This Row],[RANGE_VALIDATION_MAX]]))</f>
        <v>1</v>
      </c>
      <c r="X59" s="8">
        <v>1</v>
      </c>
      <c r="Y59" s="8">
        <f ca="1">IF(DB_TBL_DATA_FIELDS[[#This Row],[PCT_CALC_SHOW_STATUS_CODE]]=1,
DB_TBL_DATA_FIELDS[[#This Row],[FIELD_STATUS_CODE]],
IF(AND(DB_TBL_DATA_FIELDS[[#This Row],[PCT_CALC_SHOW_STATUS_CODE]]=2,DB_TBL_DATA_FIELDS[[#This Row],[FIELD_STATUS_CODE]]=0),
DB_TBL_DATA_FIELDS[[#This Row],[FIELD_STATUS_CODE]],
"")
)</f>
        <v>1</v>
      </c>
      <c r="Z59" s="8"/>
      <c r="AA59" s="11" t="s">
        <v>2504</v>
      </c>
      <c r="AB59" s="11" t="s">
        <v>2498</v>
      </c>
      <c r="AC59" s="8"/>
    </row>
    <row r="60" spans="1:29" x14ac:dyDescent="0.2">
      <c r="A60" s="4" t="s">
        <v>65</v>
      </c>
      <c r="B60" s="4" t="s">
        <v>64</v>
      </c>
      <c r="C60" s="16" t="str">
        <f ca="1">IF($H$10&lt;&gt;"R",IF(DB_TBL_DATA_FIELDS[[#This Row],[SHEET_REF_OWNER]]&lt;&gt;"",DB_TBL_DATA_FIELDS[[#This Row],[SHEET_REF_OWNER]],""),IF(DB_TBL_DATA_FIELDS[[#This Row],[SHEET_REF_RENTAL]]&lt;&gt;"",DB_TBL_DATA_FIELDS[[#This Row],[SHEET_REF_RENTAL]],""))</f>
        <v>RentalApp</v>
      </c>
      <c r="D60" s="4" t="s">
        <v>2522</v>
      </c>
      <c r="E60" s="4" t="b">
        <v>0</v>
      </c>
      <c r="F60" s="25" t="b">
        <v>1</v>
      </c>
      <c r="G60" s="6" t="s">
        <v>2501</v>
      </c>
      <c r="H60" s="11" t="str">
        <f ca="1">IFERROR(VLOOKUP(DB_TBL_DATA_FIELDS[[#This Row],[FIELD_ID]],INDIRECT(DB_TBL_DATA_FIELDS[[#This Row],[SHEET_REF_CALC]]&amp;"!A:B"),2,FALSE),"")</f>
        <v/>
      </c>
      <c r="I60" s="11"/>
      <c r="J60" s="6" t="b">
        <f ca="1">(DB_TBL_DATA_FIELDS[[#This Row],[FIELD_VALUE_RAW]]="")</f>
        <v>1</v>
      </c>
      <c r="K60" s="6" t="s">
        <v>209</v>
      </c>
      <c r="L60" s="8" t="b">
        <f>AND(IF(DB_TBL_DATA_FIELDS[[#This Row],[FIELD_VALID_CUSTOM_LOGIC]]="",TRUE,DB_TBL_DATA_FIELDS[[#This Row],[FIELD_VALID_CUSTOM_LOGIC]]),DB_TBL_DATA_FIELDS[[#This Row],[RANGE_VALIDATION_PASSED_FLAG]])</f>
        <v>1</v>
      </c>
      <c r="M60"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0" s="8">
        <f ca="1">IF(DB_TBL_DATA_FIELDS[[#This Row],[SHEET_REF_CALC]]="","",IF(DB_TBL_DATA_FIELDS[[#This Row],[FIELD_EMPTY_FLAG]],IF(NOT(DB_TBL_DATA_FIELDS[[#This Row],[FIELD_REQ_FLAG]]),-1,1),IF(NOT(DB_TBL_DATA_FIELDS[[#This Row],[FIELD_VALID_FLAG]]),0,2)))</f>
        <v>1</v>
      </c>
      <c r="O60" s="8" t="str">
        <f ca="1">IFERROR(VLOOKUP(DB_TBL_DATA_FIELDS[[#This Row],[FIELD_STATUS_CODE]],DB_TBL_CONFIG_FIELDSTATUSCODES[#All],3,FALSE),"")</f>
        <v>Required</v>
      </c>
      <c r="P60" s="8" t="str">
        <f ca="1">IFERROR(VLOOKUP(DB_TBL_DATA_FIELDS[[#This Row],[FIELD_STATUS_CODE]],DB_TBL_CONFIG_FIELDSTATUSCODES[#All],4,FALSE),"")</f>
        <v>i</v>
      </c>
      <c r="Q60" s="8" t="b">
        <f>TRUE</f>
        <v>1</v>
      </c>
      <c r="R60" s="8" t="b">
        <v>0</v>
      </c>
      <c r="S60" s="4"/>
      <c r="T60" s="8">
        <f ca="1">IF(DB_TBL_DATA_FIELDS[[#This Row],[RANGE_VALIDATION_FLAG]]="Text",LEN(DB_TBL_DATA_FIELDS[[#This Row],[FIELD_VALUE_RAW]]),IFERROR(VALUE(DB_TBL_DATA_FIELDS[[#This Row],[FIELD_VALUE_RAW]]),-1))</f>
        <v>-1</v>
      </c>
      <c r="U60" s="8">
        <v>0</v>
      </c>
      <c r="V60" s="34">
        <v>1</v>
      </c>
      <c r="W60" s="8" t="b">
        <f>IF(NOT(DB_TBL_DATA_FIELDS[[#This Row],[RANGE_VALIDATION_ON_FLAG]]),TRUE,
AND(DB_TBL_DATA_FIELDS[[#This Row],[RANGE_VALUE_LEN]]&gt;=DB_TBL_DATA_FIELDS[[#This Row],[RANGE_VALIDATION_MIN]],DB_TBL_DATA_FIELDS[[#This Row],[RANGE_VALUE_LEN]]&lt;=DB_TBL_DATA_FIELDS[[#This Row],[RANGE_VALIDATION_MAX]]))</f>
        <v>1</v>
      </c>
      <c r="X60" s="8">
        <v>1</v>
      </c>
      <c r="Y60" s="8">
        <f ca="1">IF(DB_TBL_DATA_FIELDS[[#This Row],[PCT_CALC_SHOW_STATUS_CODE]]=1,
DB_TBL_DATA_FIELDS[[#This Row],[FIELD_STATUS_CODE]],
IF(AND(DB_TBL_DATA_FIELDS[[#This Row],[PCT_CALC_SHOW_STATUS_CODE]]=2,DB_TBL_DATA_FIELDS[[#This Row],[FIELD_STATUS_CODE]]=0),
DB_TBL_DATA_FIELDS[[#This Row],[FIELD_STATUS_CODE]],
"")
)</f>
        <v>1</v>
      </c>
      <c r="Z60" s="8"/>
      <c r="AA60" s="11" t="s">
        <v>2505</v>
      </c>
      <c r="AB60" s="11" t="s">
        <v>2498</v>
      </c>
      <c r="AC60" s="8"/>
    </row>
    <row r="61" spans="1:29" x14ac:dyDescent="0.2">
      <c r="A61" s="4" t="s">
        <v>65</v>
      </c>
      <c r="B61" s="4" t="s">
        <v>64</v>
      </c>
      <c r="C61" s="16" t="str">
        <f ca="1">IF($H$10&lt;&gt;"R",IF(DB_TBL_DATA_FIELDS[[#This Row],[SHEET_REF_OWNER]]&lt;&gt;"",DB_TBL_DATA_FIELDS[[#This Row],[SHEET_REF_OWNER]],""),IF(DB_TBL_DATA_FIELDS[[#This Row],[SHEET_REF_RENTAL]]&lt;&gt;"",DB_TBL_DATA_FIELDS[[#This Row],[SHEET_REF_RENTAL]],""))</f>
        <v>RentalApp</v>
      </c>
      <c r="D61" s="4" t="s">
        <v>2499</v>
      </c>
      <c r="E61" s="4" t="b">
        <v>0</v>
      </c>
      <c r="F61" s="41" t="b">
        <f ca="1">IF(H60=TRUE,TRUE,FALSE)</f>
        <v>0</v>
      </c>
      <c r="G61" s="6" t="s">
        <v>2500</v>
      </c>
      <c r="H61" s="11" t="str">
        <f ca="1">IFERROR(VLOOKUP(DB_TBL_DATA_FIELDS[[#This Row],[FIELD_ID]],INDIRECT(DB_TBL_DATA_FIELDS[[#This Row],[SHEET_REF_CALC]]&amp;"!A:B"),2,FALSE),"")</f>
        <v/>
      </c>
      <c r="I61" s="29" t="str">
        <f ca="1">IF(DB_TBL_DATA_FIELDS[[#This Row],[FIELD_VALUE_RAW]]="","",AND(NOT(J60),H60))</f>
        <v/>
      </c>
      <c r="J61" s="6" t="b">
        <f ca="1">(DB_TBL_DATA_FIELDS[[#This Row],[FIELD_VALUE_RAW]]="")</f>
        <v>1</v>
      </c>
      <c r="K61" s="6" t="s">
        <v>11</v>
      </c>
      <c r="L61" s="8" t="b">
        <f ca="1">AND(IF(DB_TBL_DATA_FIELDS[[#This Row],[FIELD_VALID_CUSTOM_LOGIC]]="",TRUE,DB_TBL_DATA_FIELDS[[#This Row],[FIELD_VALID_CUSTOM_LOGIC]]),DB_TBL_DATA_FIELDS[[#This Row],[RANGE_VALIDATION_PASSED_FLAG]])</f>
        <v>1</v>
      </c>
      <c r="M61"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1" s="8">
        <f ca="1">IF(DB_TBL_DATA_FIELDS[[#This Row],[SHEET_REF_CALC]]="","",IF(DB_TBL_DATA_FIELDS[[#This Row],[FIELD_EMPTY_FLAG]],IF(NOT(DB_TBL_DATA_FIELDS[[#This Row],[FIELD_REQ_FLAG]]),-1,1),IF(NOT(DB_TBL_DATA_FIELDS[[#This Row],[FIELD_VALID_FLAG]]),0,2)))</f>
        <v>-1</v>
      </c>
      <c r="O61" s="8" t="str">
        <f ca="1">IFERROR(VLOOKUP(DB_TBL_DATA_FIELDS[[#This Row],[FIELD_STATUS_CODE]],DB_TBL_CONFIG_FIELDSTATUSCODES[#All],3,FALSE),"")</f>
        <v>Optional</v>
      </c>
      <c r="P61" s="8" t="str">
        <f ca="1">IFERROR(VLOOKUP(DB_TBL_DATA_FIELDS[[#This Row],[FIELD_STATUS_CODE]],DB_TBL_CONFIG_FIELDSTATUSCODES[#All],4,FALSE),"")</f>
        <v xml:space="preserve"> </v>
      </c>
      <c r="Q61" s="8" t="b">
        <f>TRUE</f>
        <v>1</v>
      </c>
      <c r="R61" s="8" t="b">
        <f>TRUE</f>
        <v>1</v>
      </c>
      <c r="S61" s="4" t="s">
        <v>11</v>
      </c>
      <c r="T61" s="8">
        <f ca="1">IF(DB_TBL_DATA_FIELDS[[#This Row],[RANGE_VALIDATION_FLAG]]="Text",LEN(DB_TBL_DATA_FIELDS[[#This Row],[FIELD_VALUE_RAW]]),IFERROR(VALUE(DB_TBL_DATA_FIELDS[[#This Row],[FIELD_VALUE_RAW]]),-1))</f>
        <v>0</v>
      </c>
      <c r="U61" s="8">
        <v>0</v>
      </c>
      <c r="V61" s="34">
        <v>100</v>
      </c>
      <c r="W61" s="8" t="b">
        <f ca="1">IF(NOT(DB_TBL_DATA_FIELDS[[#This Row],[RANGE_VALIDATION_ON_FLAG]]),TRUE,
AND(DB_TBL_DATA_FIELDS[[#This Row],[RANGE_VALUE_LEN]]&gt;=DB_TBL_DATA_FIELDS[[#This Row],[RANGE_VALIDATION_MIN]],DB_TBL_DATA_FIELDS[[#This Row],[RANGE_VALUE_LEN]]&lt;=DB_TBL_DATA_FIELDS[[#This Row],[RANGE_VALIDATION_MAX]]))</f>
        <v>1</v>
      </c>
      <c r="X61" s="8">
        <v>1</v>
      </c>
      <c r="Y61" s="8">
        <f ca="1">IF(DB_TBL_DATA_FIELDS[[#This Row],[PCT_CALC_SHOW_STATUS_CODE]]=1,
DB_TBL_DATA_FIELDS[[#This Row],[FIELD_STATUS_CODE]],
IF(AND(DB_TBL_DATA_FIELDS[[#This Row],[PCT_CALC_SHOW_STATUS_CODE]]=2,DB_TBL_DATA_FIELDS[[#This Row],[FIELD_STATUS_CODE]]=0),
DB_TBL_DATA_FIELDS[[#This Row],[FIELD_STATUS_CODE]],
"")
)</f>
        <v>-1</v>
      </c>
      <c r="Z61" s="8"/>
      <c r="AA61" s="11" t="s">
        <v>2506</v>
      </c>
      <c r="AB61" s="11" t="s">
        <v>2498</v>
      </c>
      <c r="AC61" s="8"/>
    </row>
    <row r="62" spans="1:29" x14ac:dyDescent="0.2">
      <c r="A62" s="4" t="s">
        <v>65</v>
      </c>
      <c r="B62" s="4" t="s">
        <v>64</v>
      </c>
      <c r="C62" s="16" t="str">
        <f ca="1">IF($H$10&lt;&gt;"R",IF(DB_TBL_DATA_FIELDS[[#This Row],[SHEET_REF_OWNER]]&lt;&gt;"",DB_TBL_DATA_FIELDS[[#This Row],[SHEET_REF_OWNER]],""),IF(DB_TBL_DATA_FIELDS[[#This Row],[SHEET_REF_RENTAL]]&lt;&gt;"",DB_TBL_DATA_FIELDS[[#This Row],[SHEET_REF_RENTAL]],""))</f>
        <v>RentalApp</v>
      </c>
      <c r="D62" s="4" t="s">
        <v>2502</v>
      </c>
      <c r="E62" s="4" t="b">
        <v>0</v>
      </c>
      <c r="F62" s="41" t="b">
        <f ca="1">F61</f>
        <v>0</v>
      </c>
      <c r="G62" s="6" t="s">
        <v>2503</v>
      </c>
      <c r="H62" s="11" t="str">
        <f ca="1">IFERROR(VLOOKUP(DB_TBL_DATA_FIELDS[[#This Row],[FIELD_ID]],INDIRECT(DB_TBL_DATA_FIELDS[[#This Row],[SHEET_REF_CALC]]&amp;"!A:B"),2,FALSE),"")</f>
        <v/>
      </c>
      <c r="I62" s="29" t="str">
        <f ca="1">IF(DB_TBL_DATA_FIELDS[[#This Row],[FIELD_VALUE_RAW]]="","",AND(NOT(J60),H60))</f>
        <v/>
      </c>
      <c r="J62" s="6" t="b">
        <f ca="1">(DB_TBL_DATA_FIELDS[[#This Row],[FIELD_VALUE_RAW]]="")</f>
        <v>1</v>
      </c>
      <c r="K62" s="6" t="s">
        <v>11</v>
      </c>
      <c r="L62" s="8" t="b">
        <f ca="1">AND(IF(DB_TBL_DATA_FIELDS[[#This Row],[FIELD_VALID_CUSTOM_LOGIC]]="",TRUE,DB_TBL_DATA_FIELDS[[#This Row],[FIELD_VALID_CUSTOM_LOGIC]]),DB_TBL_DATA_FIELDS[[#This Row],[RANGE_VALIDATION_PASSED_FLAG]])</f>
        <v>1</v>
      </c>
      <c r="M62"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2" s="8">
        <f ca="1">IF(DB_TBL_DATA_FIELDS[[#This Row],[SHEET_REF_CALC]]="","",IF(DB_TBL_DATA_FIELDS[[#This Row],[FIELD_EMPTY_FLAG]],IF(NOT(DB_TBL_DATA_FIELDS[[#This Row],[FIELD_REQ_FLAG]]),-1,1),IF(NOT(DB_TBL_DATA_FIELDS[[#This Row],[FIELD_VALID_FLAG]]),0,2)))</f>
        <v>-1</v>
      </c>
      <c r="O62" s="8" t="str">
        <f ca="1">IFERROR(VLOOKUP(DB_TBL_DATA_FIELDS[[#This Row],[FIELD_STATUS_CODE]],DB_TBL_CONFIG_FIELDSTATUSCODES[#All],3,FALSE),"")</f>
        <v>Optional</v>
      </c>
      <c r="P62" s="8" t="str">
        <f ca="1">IFERROR(VLOOKUP(DB_TBL_DATA_FIELDS[[#This Row],[FIELD_STATUS_CODE]],DB_TBL_CONFIG_FIELDSTATUSCODES[#All],4,FALSE),"")</f>
        <v xml:space="preserve"> </v>
      </c>
      <c r="Q62" s="8" t="b">
        <f>TRUE</f>
        <v>1</v>
      </c>
      <c r="R62" s="8" t="b">
        <f>TRUE</f>
        <v>1</v>
      </c>
      <c r="S62" s="4" t="s">
        <v>11</v>
      </c>
      <c r="T62" s="8">
        <f ca="1">IF(DB_TBL_DATA_FIELDS[[#This Row],[RANGE_VALIDATION_FLAG]]="Text",LEN(DB_TBL_DATA_FIELDS[[#This Row],[FIELD_VALUE_RAW]]),IFERROR(VALUE(DB_TBL_DATA_FIELDS[[#This Row],[FIELD_VALUE_RAW]]),-1))</f>
        <v>0</v>
      </c>
      <c r="U62" s="8">
        <v>0</v>
      </c>
      <c r="V62" s="34">
        <v>100</v>
      </c>
      <c r="W62" s="8" t="b">
        <f ca="1">IF(NOT(DB_TBL_DATA_FIELDS[[#This Row],[RANGE_VALIDATION_ON_FLAG]]),TRUE,
AND(DB_TBL_DATA_FIELDS[[#This Row],[RANGE_VALUE_LEN]]&gt;=DB_TBL_DATA_FIELDS[[#This Row],[RANGE_VALIDATION_MIN]],DB_TBL_DATA_FIELDS[[#This Row],[RANGE_VALUE_LEN]]&lt;=DB_TBL_DATA_FIELDS[[#This Row],[RANGE_VALIDATION_MAX]]))</f>
        <v>1</v>
      </c>
      <c r="X62" s="8">
        <v>1</v>
      </c>
      <c r="Y62" s="8">
        <f ca="1">IF(DB_TBL_DATA_FIELDS[[#This Row],[PCT_CALC_SHOW_STATUS_CODE]]=1,
DB_TBL_DATA_FIELDS[[#This Row],[FIELD_STATUS_CODE]],
IF(AND(DB_TBL_DATA_FIELDS[[#This Row],[PCT_CALC_SHOW_STATUS_CODE]]=2,DB_TBL_DATA_FIELDS[[#This Row],[FIELD_STATUS_CODE]]=0),
DB_TBL_DATA_FIELDS[[#This Row],[FIELD_STATUS_CODE]],
"")
)</f>
        <v>-1</v>
      </c>
      <c r="Z62" s="8"/>
      <c r="AA62" s="11" t="s">
        <v>2507</v>
      </c>
      <c r="AB62" s="11" t="s">
        <v>2498</v>
      </c>
      <c r="AC62" s="8"/>
    </row>
    <row r="63" spans="1:29" ht="13.5" thickBot="1" x14ac:dyDescent="0.25">
      <c r="A63" s="67" t="s">
        <v>65</v>
      </c>
      <c r="B63" s="67" t="s">
        <v>64</v>
      </c>
      <c r="C63" s="69" t="str">
        <f ca="1">IF($H$10&lt;&gt;"R",IF(DB_TBL_DATA_FIELDS[[#This Row],[SHEET_REF_OWNER]]&lt;&gt;"",DB_TBL_DATA_FIELDS[[#This Row],[SHEET_REF_OWNER]],""),IF(DB_TBL_DATA_FIELDS[[#This Row],[SHEET_REF_RENTAL]]&lt;&gt;"",DB_TBL_DATA_FIELDS[[#This Row],[SHEET_REF_RENTAL]],""))</f>
        <v>RentalApp</v>
      </c>
      <c r="D63" s="67" t="s">
        <v>2523</v>
      </c>
      <c r="E63" s="67" t="b">
        <v>0</v>
      </c>
      <c r="F63" s="71" t="b">
        <v>1</v>
      </c>
      <c r="G63" s="72" t="s">
        <v>2508</v>
      </c>
      <c r="H63" s="73" t="str">
        <f ca="1">IFERROR(VLOOKUP(DB_TBL_DATA_FIELDS[[#This Row],[FIELD_ID]],INDIRECT(DB_TBL_DATA_FIELDS[[#This Row],[SHEET_REF_CALC]]&amp;"!A:B"),2,FALSE),"")</f>
        <v/>
      </c>
      <c r="I63" s="73"/>
      <c r="J63" s="72" t="b">
        <f ca="1">(DB_TBL_DATA_FIELDS[[#This Row],[FIELD_VALUE_RAW]]="")</f>
        <v>1</v>
      </c>
      <c r="K63" s="72" t="s">
        <v>209</v>
      </c>
      <c r="L63" s="68" t="b">
        <f>AND(IF(DB_TBL_DATA_FIELDS[[#This Row],[FIELD_VALID_CUSTOM_LOGIC]]="",TRUE,DB_TBL_DATA_FIELDS[[#This Row],[FIELD_VALID_CUSTOM_LOGIC]]),DB_TBL_DATA_FIELDS[[#This Row],[RANGE_VALIDATION_PASSED_FLAG]])</f>
        <v>1</v>
      </c>
      <c r="M63" s="7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3" s="68">
        <f ca="1">IF(DB_TBL_DATA_FIELDS[[#This Row],[SHEET_REF_CALC]]="","",IF(DB_TBL_DATA_FIELDS[[#This Row],[FIELD_EMPTY_FLAG]],IF(NOT(DB_TBL_DATA_FIELDS[[#This Row],[FIELD_REQ_FLAG]]),-1,1),IF(NOT(DB_TBL_DATA_FIELDS[[#This Row],[FIELD_VALID_FLAG]]),0,2)))</f>
        <v>1</v>
      </c>
      <c r="O63" s="68" t="str">
        <f ca="1">IFERROR(VLOOKUP(DB_TBL_DATA_FIELDS[[#This Row],[FIELD_STATUS_CODE]],DB_TBL_CONFIG_FIELDSTATUSCODES[#All],3,FALSE),"")</f>
        <v>Required</v>
      </c>
      <c r="P63" s="68" t="str">
        <f ca="1">IFERROR(VLOOKUP(DB_TBL_DATA_FIELDS[[#This Row],[FIELD_STATUS_CODE]],DB_TBL_CONFIG_FIELDSTATUSCODES[#All],4,FALSE),"")</f>
        <v>i</v>
      </c>
      <c r="Q63" s="68" t="b">
        <f>TRUE</f>
        <v>1</v>
      </c>
      <c r="R63" s="68" t="b">
        <v>0</v>
      </c>
      <c r="S63" s="67"/>
      <c r="T63" s="68">
        <f ca="1">IF(DB_TBL_DATA_FIELDS[[#This Row],[RANGE_VALIDATION_FLAG]]="Text",LEN(DB_TBL_DATA_FIELDS[[#This Row],[FIELD_VALUE_RAW]]),IFERROR(VALUE(DB_TBL_DATA_FIELDS[[#This Row],[FIELD_VALUE_RAW]]),-1))</f>
        <v>-1</v>
      </c>
      <c r="U63" s="68">
        <v>0</v>
      </c>
      <c r="V63" s="81">
        <v>1</v>
      </c>
      <c r="W63" s="68" t="b">
        <f>IF(NOT(DB_TBL_DATA_FIELDS[[#This Row],[RANGE_VALIDATION_ON_FLAG]]),TRUE,
AND(DB_TBL_DATA_FIELDS[[#This Row],[RANGE_VALUE_LEN]]&gt;=DB_TBL_DATA_FIELDS[[#This Row],[RANGE_VALIDATION_MIN]],DB_TBL_DATA_FIELDS[[#This Row],[RANGE_VALUE_LEN]]&lt;=DB_TBL_DATA_FIELDS[[#This Row],[RANGE_VALIDATION_MAX]]))</f>
        <v>1</v>
      </c>
      <c r="X63" s="68">
        <v>1</v>
      </c>
      <c r="Y63" s="68">
        <f ca="1">IF(DB_TBL_DATA_FIELDS[[#This Row],[PCT_CALC_SHOW_STATUS_CODE]]=1,
DB_TBL_DATA_FIELDS[[#This Row],[FIELD_STATUS_CODE]],
IF(AND(DB_TBL_DATA_FIELDS[[#This Row],[PCT_CALC_SHOW_STATUS_CODE]]=2,DB_TBL_DATA_FIELDS[[#This Row],[FIELD_STATUS_CODE]]=0),
DB_TBL_DATA_FIELDS[[#This Row],[FIELD_STATUS_CODE]],
"")
)</f>
        <v>1</v>
      </c>
      <c r="Z63" s="68"/>
      <c r="AA63" s="73" t="s">
        <v>2509</v>
      </c>
      <c r="AB63" s="73" t="s">
        <v>2498</v>
      </c>
      <c r="AC63" s="68"/>
    </row>
    <row r="64" spans="1:29" x14ac:dyDescent="0.2">
      <c r="A64" s="4" t="s">
        <v>65</v>
      </c>
      <c r="B64" s="4" t="s">
        <v>64</v>
      </c>
      <c r="C64" s="16" t="str">
        <f ca="1">IF($H$10&lt;&gt;"R",IF(DB_TBL_DATA_FIELDS[[#This Row],[SHEET_REF_OWNER]]&lt;&gt;"",DB_TBL_DATA_FIELDS[[#This Row],[SHEET_REF_OWNER]],""),IF(DB_TBL_DATA_FIELDS[[#This Row],[SHEET_REF_RENTAL]]&lt;&gt;"",DB_TBL_DATA_FIELDS[[#This Row],[SHEET_REF_RENTAL]],""))</f>
        <v>RentalApp</v>
      </c>
      <c r="D64" s="4" t="s">
        <v>2515</v>
      </c>
      <c r="E64" s="4" t="b">
        <v>0</v>
      </c>
      <c r="F64" s="25" t="b">
        <v>1</v>
      </c>
      <c r="G64" s="6" t="s">
        <v>2541</v>
      </c>
      <c r="H64" s="11" t="str">
        <f ca="1">IFERROR(VLOOKUP(DB_TBL_DATA_FIELDS[[#This Row],[FIELD_ID]],INDIRECT(DB_TBL_DATA_FIELDS[[#This Row],[SHEET_REF_CALC]]&amp;"!A:B"),2,FALSE),"")</f>
        <v/>
      </c>
      <c r="I64" s="11"/>
      <c r="J64" s="6" t="b">
        <f ca="1">(DB_TBL_DATA_FIELDS[[#This Row],[FIELD_VALUE_RAW]]="")</f>
        <v>1</v>
      </c>
      <c r="K64" s="6" t="s">
        <v>11</v>
      </c>
      <c r="L64" s="8" t="b">
        <f ca="1">AND(IF(DB_TBL_DATA_FIELDS[[#This Row],[FIELD_VALID_CUSTOM_LOGIC]]="",TRUE,DB_TBL_DATA_FIELDS[[#This Row],[FIELD_VALID_CUSTOM_LOGIC]]),DB_TBL_DATA_FIELDS[[#This Row],[RANGE_VALIDATION_PASSED_FLAG]])</f>
        <v>1</v>
      </c>
      <c r="M64"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4" s="8">
        <f ca="1">IF(DB_TBL_DATA_FIELDS[[#This Row],[SHEET_REF_CALC]]="","",IF(DB_TBL_DATA_FIELDS[[#This Row],[FIELD_EMPTY_FLAG]],IF(NOT(DB_TBL_DATA_FIELDS[[#This Row],[FIELD_REQ_FLAG]]),-1,1),IF(NOT(DB_TBL_DATA_FIELDS[[#This Row],[FIELD_VALID_FLAG]]),0,2)))</f>
        <v>1</v>
      </c>
      <c r="O64" s="8" t="str">
        <f ca="1">IFERROR(VLOOKUP(DB_TBL_DATA_FIELDS[[#This Row],[FIELD_STATUS_CODE]],DB_TBL_CONFIG_FIELDSTATUSCODES[#All],3,FALSE),"")</f>
        <v>Required</v>
      </c>
      <c r="P64" s="8" t="str">
        <f ca="1">IFERROR(VLOOKUP(DB_TBL_DATA_FIELDS[[#This Row],[FIELD_STATUS_CODE]],DB_TBL_CONFIG_FIELDSTATUSCODES[#All],4,FALSE),"")</f>
        <v>i</v>
      </c>
      <c r="Q64" s="8" t="b">
        <f>TRUE</f>
        <v>1</v>
      </c>
      <c r="R64" s="8" t="b">
        <f>TRUE</f>
        <v>1</v>
      </c>
      <c r="S64" s="4" t="s">
        <v>11</v>
      </c>
      <c r="T64" s="8">
        <f ca="1">IF(DB_TBL_DATA_FIELDS[[#This Row],[RANGE_VALIDATION_FLAG]]="Text",LEN(DB_TBL_DATA_FIELDS[[#This Row],[FIELD_VALUE_RAW]]),IFERROR(VALUE(DB_TBL_DATA_FIELDS[[#This Row],[FIELD_VALUE_RAW]]),-1))</f>
        <v>0</v>
      </c>
      <c r="U64" s="8">
        <v>0</v>
      </c>
      <c r="V64" s="101">
        <f>CONFIG_CHAR_LIMIT_XLARGE</f>
        <v>3000</v>
      </c>
      <c r="W64" s="8" t="b">
        <f ca="1">IF(NOT(DB_TBL_DATA_FIELDS[[#This Row],[RANGE_VALIDATION_ON_FLAG]]),TRUE,
AND(DB_TBL_DATA_FIELDS[[#This Row],[RANGE_VALUE_LEN]]&gt;=DB_TBL_DATA_FIELDS[[#This Row],[RANGE_VALIDATION_MIN]],DB_TBL_DATA_FIELDS[[#This Row],[RANGE_VALUE_LEN]]&lt;=DB_TBL_DATA_FIELDS[[#This Row],[RANGE_VALIDATION_MAX]]))</f>
        <v>1</v>
      </c>
      <c r="X64" s="8">
        <v>1</v>
      </c>
      <c r="Y64" s="8">
        <f ca="1">IF(DB_TBL_DATA_FIELDS[[#This Row],[PCT_CALC_SHOW_STATUS_CODE]]=1,
DB_TBL_DATA_FIELDS[[#This Row],[FIELD_STATUS_CODE]],
IF(AND(DB_TBL_DATA_FIELDS[[#This Row],[PCT_CALC_SHOW_STATUS_CODE]]=2,DB_TBL_DATA_FIELDS[[#This Row],[FIELD_STATUS_CODE]]=0),
DB_TBL_DATA_FIELDS[[#This Row],[FIELD_STATUS_CODE]],
"")
)</f>
        <v>1</v>
      </c>
      <c r="Z64" s="8"/>
      <c r="AA64" s="11" t="s">
        <v>2561</v>
      </c>
      <c r="AB64" s="11" t="s">
        <v>2562</v>
      </c>
      <c r="AC64" s="8"/>
    </row>
    <row r="65" spans="1:29" x14ac:dyDescent="0.2">
      <c r="A65" s="4" t="s">
        <v>65</v>
      </c>
      <c r="B65" s="4" t="s">
        <v>64</v>
      </c>
      <c r="C65" s="16" t="str">
        <f ca="1">IF($H$10&lt;&gt;"R",IF(DB_TBL_DATA_FIELDS[[#This Row],[SHEET_REF_OWNER]]&lt;&gt;"",DB_TBL_DATA_FIELDS[[#This Row],[SHEET_REF_OWNER]],""),IF(DB_TBL_DATA_FIELDS[[#This Row],[SHEET_REF_RENTAL]]&lt;&gt;"",DB_TBL_DATA_FIELDS[[#This Row],[SHEET_REF_RENTAL]],""))</f>
        <v>RentalApp</v>
      </c>
      <c r="D65" s="4" t="s">
        <v>2589</v>
      </c>
      <c r="E65" s="4" t="b">
        <v>0</v>
      </c>
      <c r="F65" s="25" t="b">
        <v>1</v>
      </c>
      <c r="G65" s="6" t="s">
        <v>2590</v>
      </c>
      <c r="H65" s="11" t="str">
        <f ca="1">IFERROR(VLOOKUP(DB_TBL_DATA_FIELDS[[#This Row],[FIELD_ID]],INDIRECT(DB_TBL_DATA_FIELDS[[#This Row],[SHEET_REF_CALC]]&amp;"!A:B"),2,FALSE),"")</f>
        <v/>
      </c>
      <c r="I65" s="11" t="b">
        <f ca="1">I66</f>
        <v>1</v>
      </c>
      <c r="J65" s="6" t="b">
        <f ca="1">(DB_TBL_DATA_FIELDS[[#This Row],[FIELD_VALUE_RAW]]="")</f>
        <v>1</v>
      </c>
      <c r="K65" s="6" t="s">
        <v>11</v>
      </c>
      <c r="L65" s="8" t="b">
        <f ca="1">AND(IF(DB_TBL_DATA_FIELDS[[#This Row],[FIELD_VALID_CUSTOM_LOGIC]]="",TRUE,DB_TBL_DATA_FIELDS[[#This Row],[FIELD_VALID_CUSTOM_LOGIC]]),DB_TBL_DATA_FIELDS[[#This Row],[RANGE_VALIDATION_PASSED_FLAG]])</f>
        <v>1</v>
      </c>
      <c r="M65"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5" s="8">
        <f ca="1">IF(DB_TBL_DATA_FIELDS[[#This Row],[SHEET_REF_CALC]]="","",IF(DB_TBL_DATA_FIELDS[[#This Row],[FIELD_EMPTY_FLAG]],IF(NOT(DB_TBL_DATA_FIELDS[[#This Row],[FIELD_REQ_FLAG]]),-1,1),IF(NOT(DB_TBL_DATA_FIELDS[[#This Row],[FIELD_VALID_FLAG]]),0,2)))</f>
        <v>1</v>
      </c>
      <c r="O65" s="8" t="str">
        <f ca="1">IFERROR(VLOOKUP(DB_TBL_DATA_FIELDS[[#This Row],[FIELD_STATUS_CODE]],DB_TBL_CONFIG_FIELDSTATUSCODES[#All],3,FALSE),"")</f>
        <v>Required</v>
      </c>
      <c r="P65" s="8" t="str">
        <f ca="1">IFERROR(VLOOKUP(DB_TBL_DATA_FIELDS[[#This Row],[FIELD_STATUS_CODE]],DB_TBL_CONFIG_FIELDSTATUSCODES[#All],4,FALSE),"")</f>
        <v>i</v>
      </c>
      <c r="Q65" s="8" t="b">
        <f>TRUE</f>
        <v>1</v>
      </c>
      <c r="R65" s="8" t="b">
        <f>TRUE</f>
        <v>1</v>
      </c>
      <c r="S65" s="4" t="s">
        <v>11</v>
      </c>
      <c r="T65" s="8">
        <f ca="1">IF(DB_TBL_DATA_FIELDS[[#This Row],[RANGE_VALIDATION_FLAG]]="Text",LEN(DB_TBL_DATA_FIELDS[[#This Row],[FIELD_VALUE_RAW]]),IFERROR(VALUE(DB_TBL_DATA_FIELDS[[#This Row],[FIELD_VALUE_RAW]]),-1))</f>
        <v>0</v>
      </c>
      <c r="U65" s="8">
        <v>0</v>
      </c>
      <c r="V65" s="34">
        <v>25</v>
      </c>
      <c r="W65" s="8" t="b">
        <f ca="1">IF(NOT(DB_TBL_DATA_FIELDS[[#This Row],[RANGE_VALIDATION_ON_FLAG]]),TRUE,
AND(DB_TBL_DATA_FIELDS[[#This Row],[RANGE_VALUE_LEN]]&gt;=DB_TBL_DATA_FIELDS[[#This Row],[RANGE_VALIDATION_MIN]],DB_TBL_DATA_FIELDS[[#This Row],[RANGE_VALUE_LEN]]&lt;=DB_TBL_DATA_FIELDS[[#This Row],[RANGE_VALIDATION_MAX]]))</f>
        <v>1</v>
      </c>
      <c r="X65" s="8">
        <v>1</v>
      </c>
      <c r="Y65" s="8">
        <f ca="1">IF(DB_TBL_DATA_FIELDS[[#This Row],[PCT_CALC_SHOW_STATUS_CODE]]=1,
DB_TBL_DATA_FIELDS[[#This Row],[FIELD_STATUS_CODE]],
IF(AND(DB_TBL_DATA_FIELDS[[#This Row],[PCT_CALC_SHOW_STATUS_CODE]]=2,DB_TBL_DATA_FIELDS[[#This Row],[FIELD_STATUS_CODE]]=0),
DB_TBL_DATA_FIELDS[[#This Row],[FIELD_STATUS_CODE]],
"")
)</f>
        <v>1</v>
      </c>
      <c r="Z65" s="8"/>
      <c r="AA65" s="11" t="s">
        <v>2563</v>
      </c>
      <c r="AB65" s="11" t="s">
        <v>2562</v>
      </c>
      <c r="AC65" s="8"/>
    </row>
    <row r="66" spans="1:29" x14ac:dyDescent="0.2">
      <c r="A66" s="4" t="s">
        <v>65</v>
      </c>
      <c r="B66" s="4" t="s">
        <v>64</v>
      </c>
      <c r="C66" s="16" t="str">
        <f ca="1">IF($H$10&lt;&gt;"R",IF(DB_TBL_DATA_FIELDS[[#This Row],[SHEET_REF_OWNER]]&lt;&gt;"",DB_TBL_DATA_FIELDS[[#This Row],[SHEET_REF_OWNER]],""),IF(DB_TBL_DATA_FIELDS[[#This Row],[SHEET_REF_RENTAL]]&lt;&gt;"",DB_TBL_DATA_FIELDS[[#This Row],[SHEET_REF_RENTAL]],""))</f>
        <v>RentalApp</v>
      </c>
      <c r="D66" s="4" t="s">
        <v>2516</v>
      </c>
      <c r="E66" s="4" t="b">
        <v>1</v>
      </c>
      <c r="F66" s="25" t="b">
        <v>1</v>
      </c>
      <c r="G66" s="6" t="s">
        <v>2591</v>
      </c>
      <c r="H66" s="29" t="str">
        <f ca="1">IF(H65="","",IFERROR(VLOOKUP(H65,'$DB.LOOKUP'!W:X,2,FALSE),"{INVALID}"))</f>
        <v/>
      </c>
      <c r="I66" s="29" t="b">
        <f ca="1">OR(DB_TBL_DATA_FIELDS[[#This Row],[FIELD_VALUE_RAW]]="",DB_TBL_DATA_FIELDS[[#This Row],[FIELD_VALUE_RAW]]&lt;&gt;"{INVALID}")</f>
        <v>1</v>
      </c>
      <c r="J66" s="6" t="b">
        <f ca="1">(DB_TBL_DATA_FIELDS[[#This Row],[FIELD_VALUE_RAW]]="")</f>
        <v>1</v>
      </c>
      <c r="K66" s="6" t="s">
        <v>11</v>
      </c>
      <c r="L66" s="8" t="b">
        <f ca="1">AND(IF(DB_TBL_DATA_FIELDS[[#This Row],[FIELD_VALID_CUSTOM_LOGIC]]="",TRUE,DB_TBL_DATA_FIELDS[[#This Row],[FIELD_VALID_CUSTOM_LOGIC]]),DB_TBL_DATA_FIELDS[[#This Row],[RANGE_VALIDATION_PASSED_FLAG]])</f>
        <v>1</v>
      </c>
      <c r="M66"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6" s="8">
        <f ca="1">IF(DB_TBL_DATA_FIELDS[[#This Row],[SHEET_REF_CALC]]="","",IF(DB_TBL_DATA_FIELDS[[#This Row],[FIELD_EMPTY_FLAG]],IF(NOT(DB_TBL_DATA_FIELDS[[#This Row],[FIELD_REQ_FLAG]]),-1,1),IF(NOT(DB_TBL_DATA_FIELDS[[#This Row],[FIELD_VALID_FLAG]]),0,2)))</f>
        <v>1</v>
      </c>
      <c r="O66" s="8" t="str">
        <f ca="1">IFERROR(VLOOKUP(DB_TBL_DATA_FIELDS[[#This Row],[FIELD_STATUS_CODE]],DB_TBL_CONFIG_FIELDSTATUSCODES[#All],3,FALSE),"")</f>
        <v>Required</v>
      </c>
      <c r="P66" s="8" t="str">
        <f ca="1">IFERROR(VLOOKUP(DB_TBL_DATA_FIELDS[[#This Row],[FIELD_STATUS_CODE]],DB_TBL_CONFIG_FIELDSTATUSCODES[#All],4,FALSE),"")</f>
        <v>i</v>
      </c>
      <c r="Q66" s="8" t="b">
        <f>TRUE</f>
        <v>1</v>
      </c>
      <c r="R66" s="8" t="b">
        <f>TRUE</f>
        <v>1</v>
      </c>
      <c r="S66" s="4" t="s">
        <v>11</v>
      </c>
      <c r="T66" s="8">
        <f ca="1">IF(DB_TBL_DATA_FIELDS[[#This Row],[RANGE_VALIDATION_FLAG]]="Text",LEN(DB_TBL_DATA_FIELDS[[#This Row],[FIELD_VALUE_RAW]]),IFERROR(VALUE(DB_TBL_DATA_FIELDS[[#This Row],[FIELD_VALUE_RAW]]),-1))</f>
        <v>0</v>
      </c>
      <c r="U66" s="8">
        <v>0</v>
      </c>
      <c r="V66" s="34">
        <v>1</v>
      </c>
      <c r="W66" s="8" t="b">
        <f ca="1">IF(NOT(DB_TBL_DATA_FIELDS[[#This Row],[RANGE_VALIDATION_ON_FLAG]]),TRUE,
AND(DB_TBL_DATA_FIELDS[[#This Row],[RANGE_VALUE_LEN]]&gt;=DB_TBL_DATA_FIELDS[[#This Row],[RANGE_VALIDATION_MIN]],DB_TBL_DATA_FIELDS[[#This Row],[RANGE_VALUE_LEN]]&lt;=DB_TBL_DATA_FIELDS[[#This Row],[RANGE_VALIDATION_MAX]]))</f>
        <v>1</v>
      </c>
      <c r="X66" s="8">
        <v>0</v>
      </c>
      <c r="Y66" s="8" t="str">
        <f ca="1">IF(DB_TBL_DATA_FIELDS[[#This Row],[PCT_CALC_SHOW_STATUS_CODE]]=1,
DB_TBL_DATA_FIELDS[[#This Row],[FIELD_STATUS_CODE]],
IF(AND(DB_TBL_DATA_FIELDS[[#This Row],[PCT_CALC_SHOW_STATUS_CODE]]=2,DB_TBL_DATA_FIELDS[[#This Row],[FIELD_STATUS_CODE]]=0),
DB_TBL_DATA_FIELDS[[#This Row],[FIELD_STATUS_CODE]],
"")
)</f>
        <v/>
      </c>
      <c r="Z66" s="8"/>
      <c r="AA66" s="11" t="s">
        <v>2563</v>
      </c>
      <c r="AB66" s="11" t="s">
        <v>2562</v>
      </c>
      <c r="AC66" s="8"/>
    </row>
    <row r="67" spans="1:29" x14ac:dyDescent="0.2">
      <c r="A67" s="4" t="s">
        <v>65</v>
      </c>
      <c r="B67" s="4"/>
      <c r="C67" s="16" t="str">
        <f ca="1">IF($H$10&lt;&gt;"R",IF(DB_TBL_DATA_FIELDS[[#This Row],[SHEET_REF_OWNER]]&lt;&gt;"",DB_TBL_DATA_FIELDS[[#This Row],[SHEET_REF_OWNER]],""),IF(DB_TBL_DATA_FIELDS[[#This Row],[SHEET_REF_RENTAL]]&lt;&gt;"",DB_TBL_DATA_FIELDS[[#This Row],[SHEET_REF_RENTAL]],""))</f>
        <v/>
      </c>
      <c r="D67" s="89" t="s">
        <v>2517</v>
      </c>
      <c r="E67" s="4" t="b">
        <v>1</v>
      </c>
      <c r="F67" s="25" t="b">
        <v>1</v>
      </c>
      <c r="G67" s="6" t="s">
        <v>2542</v>
      </c>
      <c r="H67" s="11" t="str">
        <f ca="1">IFERROR(VLOOKUP(DB_TBL_DATA_FIELDS[[#This Row],[FIELD_ID]],INDIRECT(DB_TBL_DATA_FIELDS[[#This Row],[SHEET_REF_CALC]]&amp;"!A:B"),2,FALSE),"")</f>
        <v/>
      </c>
      <c r="I67" s="11"/>
      <c r="J67" s="6" t="b">
        <f ca="1">(DB_TBL_DATA_FIELDS[[#This Row],[FIELD_VALUE_RAW]]="")</f>
        <v>1</v>
      </c>
      <c r="K67" s="6" t="s">
        <v>209</v>
      </c>
      <c r="L67" s="8" t="b">
        <f>AND(IF(DB_TBL_DATA_FIELDS[[#This Row],[FIELD_VALID_CUSTOM_LOGIC]]="",TRUE,DB_TBL_DATA_FIELDS[[#This Row],[FIELD_VALID_CUSTOM_LOGIC]]),DB_TBL_DATA_FIELDS[[#This Row],[RANGE_VALIDATION_PASSED_FLAG]])</f>
        <v>1</v>
      </c>
      <c r="M67"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7" s="8" t="str">
        <f ca="1">IF(DB_TBL_DATA_FIELDS[[#This Row],[SHEET_REF_CALC]]="","",IF(DB_TBL_DATA_FIELDS[[#This Row],[FIELD_EMPTY_FLAG]],IF(NOT(DB_TBL_DATA_FIELDS[[#This Row],[FIELD_REQ_FLAG]]),-1,1),IF(NOT(DB_TBL_DATA_FIELDS[[#This Row],[FIELD_VALID_FLAG]]),0,2)))</f>
        <v/>
      </c>
      <c r="O67" s="8" t="str">
        <f ca="1">IFERROR(VLOOKUP(DB_TBL_DATA_FIELDS[[#This Row],[FIELD_STATUS_CODE]],DB_TBL_CONFIG_FIELDSTATUSCODES[#All],3,FALSE),"")</f>
        <v/>
      </c>
      <c r="P67" s="8" t="str">
        <f ca="1">IFERROR(VLOOKUP(DB_TBL_DATA_FIELDS[[#This Row],[FIELD_STATUS_CODE]],DB_TBL_CONFIG_FIELDSTATUSCODES[#All],4,FALSE),"")</f>
        <v/>
      </c>
      <c r="Q67" s="8" t="b">
        <f>TRUE</f>
        <v>1</v>
      </c>
      <c r="R67" s="53" t="b">
        <v>0</v>
      </c>
      <c r="S67" s="4"/>
      <c r="T67" s="8">
        <f ca="1">IF(DB_TBL_DATA_FIELDS[[#This Row],[RANGE_VALIDATION_FLAG]]="Text",LEN(DB_TBL_DATA_FIELDS[[#This Row],[FIELD_VALUE_RAW]]),IFERROR(VALUE(DB_TBL_DATA_FIELDS[[#This Row],[FIELD_VALUE_RAW]]),-1))</f>
        <v>-1</v>
      </c>
      <c r="U67" s="8">
        <v>0</v>
      </c>
      <c r="V67" s="34">
        <v>1</v>
      </c>
      <c r="W67" s="8" t="b">
        <f>IF(NOT(DB_TBL_DATA_FIELDS[[#This Row],[RANGE_VALIDATION_ON_FLAG]]),TRUE,
AND(DB_TBL_DATA_FIELDS[[#This Row],[RANGE_VALUE_LEN]]&gt;=DB_TBL_DATA_FIELDS[[#This Row],[RANGE_VALIDATION_MIN]],DB_TBL_DATA_FIELDS[[#This Row],[RANGE_VALUE_LEN]]&lt;=DB_TBL_DATA_FIELDS[[#This Row],[RANGE_VALIDATION_MAX]]))</f>
        <v>1</v>
      </c>
      <c r="X67" s="8">
        <v>1</v>
      </c>
      <c r="Y67" s="8" t="str">
        <f ca="1">IF(DB_TBL_DATA_FIELDS[[#This Row],[PCT_CALC_SHOW_STATUS_CODE]]=1,
DB_TBL_DATA_FIELDS[[#This Row],[FIELD_STATUS_CODE]],
IF(AND(DB_TBL_DATA_FIELDS[[#This Row],[PCT_CALC_SHOW_STATUS_CODE]]=2,DB_TBL_DATA_FIELDS[[#This Row],[FIELD_STATUS_CODE]]=0),
DB_TBL_DATA_FIELDS[[#This Row],[FIELD_STATUS_CODE]],
"")
)</f>
        <v/>
      </c>
      <c r="Z67" s="8"/>
      <c r="AA67" s="11" t="s">
        <v>2564</v>
      </c>
      <c r="AB67" s="11" t="s">
        <v>2562</v>
      </c>
      <c r="AC67" s="8"/>
    </row>
    <row r="68" spans="1:29" x14ac:dyDescent="0.2">
      <c r="A68" s="4" t="s">
        <v>65</v>
      </c>
      <c r="B68" s="4" t="s">
        <v>64</v>
      </c>
      <c r="C68" s="16" t="str">
        <f ca="1">IF($H$10&lt;&gt;"R",IF(DB_TBL_DATA_FIELDS[[#This Row],[SHEET_REF_OWNER]]&lt;&gt;"",DB_TBL_DATA_FIELDS[[#This Row],[SHEET_REF_OWNER]],""),IF(DB_TBL_DATA_FIELDS[[#This Row],[SHEET_REF_RENTAL]]&lt;&gt;"",DB_TBL_DATA_FIELDS[[#This Row],[SHEET_REF_RENTAL]],""))</f>
        <v>RentalApp</v>
      </c>
      <c r="D68" s="4" t="s">
        <v>2518</v>
      </c>
      <c r="E68" s="4" t="b">
        <v>1</v>
      </c>
      <c r="F68" s="25" t="b">
        <v>1</v>
      </c>
      <c r="G68" s="6" t="s">
        <v>2543</v>
      </c>
      <c r="H68" s="11" t="str">
        <f ca="1">IFERROR(VLOOKUP(DB_TBL_DATA_FIELDS[[#This Row],[FIELD_ID]],INDIRECT(DB_TBL_DATA_FIELDS[[#This Row],[SHEET_REF_CALC]]&amp;"!A:B"),2,FALSE),"")</f>
        <v/>
      </c>
      <c r="I68" s="11"/>
      <c r="J68" s="6" t="b">
        <f ca="1">(DB_TBL_DATA_FIELDS[[#This Row],[FIELD_VALUE_RAW]]="")</f>
        <v>1</v>
      </c>
      <c r="K68" s="6" t="s">
        <v>209</v>
      </c>
      <c r="L68" s="8" t="b">
        <f>AND(IF(DB_TBL_DATA_FIELDS[[#This Row],[FIELD_VALID_CUSTOM_LOGIC]]="",TRUE,DB_TBL_DATA_FIELDS[[#This Row],[FIELD_VALID_CUSTOM_LOGIC]]),DB_TBL_DATA_FIELDS[[#This Row],[RANGE_VALIDATION_PASSED_FLAG]])</f>
        <v>1</v>
      </c>
      <c r="M68"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8" s="8">
        <f ca="1">IF(DB_TBL_DATA_FIELDS[[#This Row],[SHEET_REF_CALC]]="","",IF(DB_TBL_DATA_FIELDS[[#This Row],[FIELD_EMPTY_FLAG]],IF(NOT(DB_TBL_DATA_FIELDS[[#This Row],[FIELD_REQ_FLAG]]),-1,1),IF(NOT(DB_TBL_DATA_FIELDS[[#This Row],[FIELD_VALID_FLAG]]),0,2)))</f>
        <v>1</v>
      </c>
      <c r="O68" s="8" t="str">
        <f ca="1">IFERROR(VLOOKUP(DB_TBL_DATA_FIELDS[[#This Row],[FIELD_STATUS_CODE]],DB_TBL_CONFIG_FIELDSTATUSCODES[#All],3,FALSE),"")</f>
        <v>Required</v>
      </c>
      <c r="P68" s="8" t="str">
        <f ca="1">IFERROR(VLOOKUP(DB_TBL_DATA_FIELDS[[#This Row],[FIELD_STATUS_CODE]],DB_TBL_CONFIG_FIELDSTATUSCODES[#All],4,FALSE),"")</f>
        <v>i</v>
      </c>
      <c r="Q68" s="8" t="b">
        <f>TRUE</f>
        <v>1</v>
      </c>
      <c r="R68" s="53" t="b">
        <v>0</v>
      </c>
      <c r="S68" s="4"/>
      <c r="T68" s="8">
        <f ca="1">IF(DB_TBL_DATA_FIELDS[[#This Row],[RANGE_VALIDATION_FLAG]]="Text",LEN(DB_TBL_DATA_FIELDS[[#This Row],[FIELD_VALUE_RAW]]),IFERROR(VALUE(DB_TBL_DATA_FIELDS[[#This Row],[FIELD_VALUE_RAW]]),-1))</f>
        <v>-1</v>
      </c>
      <c r="U68" s="8">
        <v>0</v>
      </c>
      <c r="V68" s="34">
        <v>1</v>
      </c>
      <c r="W68" s="8" t="b">
        <f>IF(NOT(DB_TBL_DATA_FIELDS[[#This Row],[RANGE_VALIDATION_ON_FLAG]]),TRUE,
AND(DB_TBL_DATA_FIELDS[[#This Row],[RANGE_VALUE_LEN]]&gt;=DB_TBL_DATA_FIELDS[[#This Row],[RANGE_VALIDATION_MIN]],DB_TBL_DATA_FIELDS[[#This Row],[RANGE_VALUE_LEN]]&lt;=DB_TBL_DATA_FIELDS[[#This Row],[RANGE_VALIDATION_MAX]]))</f>
        <v>1</v>
      </c>
      <c r="X68" s="8">
        <v>1</v>
      </c>
      <c r="Y68" s="8">
        <f ca="1">IF(DB_TBL_DATA_FIELDS[[#This Row],[PCT_CALC_SHOW_STATUS_CODE]]=1,
DB_TBL_DATA_FIELDS[[#This Row],[FIELD_STATUS_CODE]],
IF(AND(DB_TBL_DATA_FIELDS[[#This Row],[PCT_CALC_SHOW_STATUS_CODE]]=2,DB_TBL_DATA_FIELDS[[#This Row],[FIELD_STATUS_CODE]]=0),
DB_TBL_DATA_FIELDS[[#This Row],[FIELD_STATUS_CODE]],
"")
)</f>
        <v>1</v>
      </c>
      <c r="Z68" s="8"/>
      <c r="AA68" s="11" t="s">
        <v>2565</v>
      </c>
      <c r="AB68" s="11" t="s">
        <v>2562</v>
      </c>
      <c r="AC68" s="8"/>
    </row>
    <row r="69" spans="1:29" x14ac:dyDescent="0.2">
      <c r="A69" s="4" t="s">
        <v>65</v>
      </c>
      <c r="B69" s="4" t="s">
        <v>64</v>
      </c>
      <c r="C69" s="16" t="str">
        <f ca="1">IF($H$10&lt;&gt;"R",IF(DB_TBL_DATA_FIELDS[[#This Row],[SHEET_REF_OWNER]]&lt;&gt;"",DB_TBL_DATA_FIELDS[[#This Row],[SHEET_REF_OWNER]],""),IF(DB_TBL_DATA_FIELDS[[#This Row],[SHEET_REF_RENTAL]]&lt;&gt;"",DB_TBL_DATA_FIELDS[[#This Row],[SHEET_REF_RENTAL]],""))</f>
        <v>RentalApp</v>
      </c>
      <c r="D69" s="4" t="s">
        <v>3564</v>
      </c>
      <c r="E69" s="4" t="b">
        <v>0</v>
      </c>
      <c r="F69" s="41" t="b">
        <f ca="1">AND(H68&lt;&gt;"",H68=TRUE,PROJ_STATE_IN_DISTRICT_FLAG=TRUE)</f>
        <v>0</v>
      </c>
      <c r="G69" s="6" t="s">
        <v>3565</v>
      </c>
      <c r="H69" s="11" t="str">
        <f ca="1">IFERROR(VLOOKUP(DB_TBL_DATA_FIELDS[[#This Row],[FIELD_ID]],INDIRECT(DB_TBL_DATA_FIELDS[[#This Row],[SHEET_REF_CALC]]&amp;"!A:B"),2,FALSE),"")</f>
        <v/>
      </c>
      <c r="I69" s="29" t="str">
        <f ca="1">IF(DB_TBL_DATA_FIELDS[[#This Row],[FIELD_VALUE_RAW]]="","",AND(H68=TRUE,PROJ_STATE_IN_DISTRICT_FLAG=TRUE))</f>
        <v/>
      </c>
      <c r="J69" s="6" t="b">
        <f ca="1">(DB_TBL_DATA_FIELDS[[#This Row],[FIELD_VALUE_RAW]]="")</f>
        <v>1</v>
      </c>
      <c r="K69" s="6" t="s">
        <v>209</v>
      </c>
      <c r="L69" s="8" t="b">
        <f ca="1">AND(IF(DB_TBL_DATA_FIELDS[[#This Row],[FIELD_VALID_CUSTOM_LOGIC]]="",TRUE,DB_TBL_DATA_FIELDS[[#This Row],[FIELD_VALID_CUSTOM_LOGIC]]),DB_TBL_DATA_FIELDS[[#This Row],[RANGE_VALIDATION_PASSED_FLAG]])</f>
        <v>1</v>
      </c>
      <c r="M69"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9" s="8">
        <f ca="1">IF(DB_TBL_DATA_FIELDS[[#This Row],[SHEET_REF_CALC]]="","",IF(DB_TBL_DATA_FIELDS[[#This Row],[FIELD_EMPTY_FLAG]],IF(NOT(DB_TBL_DATA_FIELDS[[#This Row],[FIELD_REQ_FLAG]]),-1,1),IF(NOT(DB_TBL_DATA_FIELDS[[#This Row],[FIELD_VALID_FLAG]]),0,2)))</f>
        <v>-1</v>
      </c>
      <c r="O69" s="8" t="str">
        <f ca="1">IFERROR(VLOOKUP(DB_TBL_DATA_FIELDS[[#This Row],[FIELD_STATUS_CODE]],DB_TBL_CONFIG_FIELDSTATUSCODES[#All],3,FALSE),"")</f>
        <v>Optional</v>
      </c>
      <c r="P69" s="8" t="str">
        <f ca="1">IFERROR(VLOOKUP(DB_TBL_DATA_FIELDS[[#This Row],[FIELD_STATUS_CODE]],DB_TBL_CONFIG_FIELDSTATUSCODES[#All],4,FALSE),"")</f>
        <v xml:space="preserve"> </v>
      </c>
      <c r="Q69" s="8" t="b">
        <f>TRUE</f>
        <v>1</v>
      </c>
      <c r="R69" s="53" t="b">
        <v>0</v>
      </c>
      <c r="S69" s="4"/>
      <c r="T69" s="8">
        <f ca="1">IF(DB_TBL_DATA_FIELDS[[#This Row],[RANGE_VALIDATION_FLAG]]="Text",LEN(DB_TBL_DATA_FIELDS[[#This Row],[FIELD_VALUE_RAW]]),IFERROR(VALUE(DB_TBL_DATA_FIELDS[[#This Row],[FIELD_VALUE_RAW]]),-1))</f>
        <v>-1</v>
      </c>
      <c r="U69" s="8">
        <v>0</v>
      </c>
      <c r="V69" s="34">
        <v>1</v>
      </c>
      <c r="W69" s="8" t="b">
        <f>IF(NOT(DB_TBL_DATA_FIELDS[[#This Row],[RANGE_VALIDATION_ON_FLAG]]),TRUE,
AND(DB_TBL_DATA_FIELDS[[#This Row],[RANGE_VALUE_LEN]]&gt;=DB_TBL_DATA_FIELDS[[#This Row],[RANGE_VALIDATION_MIN]],DB_TBL_DATA_FIELDS[[#This Row],[RANGE_VALUE_LEN]]&lt;=DB_TBL_DATA_FIELDS[[#This Row],[RANGE_VALIDATION_MAX]]))</f>
        <v>1</v>
      </c>
      <c r="X69" s="8">
        <v>1</v>
      </c>
      <c r="Y69" s="8">
        <f ca="1">IF(DB_TBL_DATA_FIELDS[[#This Row],[PCT_CALC_SHOW_STATUS_CODE]]=1,
DB_TBL_DATA_FIELDS[[#This Row],[FIELD_STATUS_CODE]],
IF(AND(DB_TBL_DATA_FIELDS[[#This Row],[PCT_CALC_SHOW_STATUS_CODE]]=2,DB_TBL_DATA_FIELDS[[#This Row],[FIELD_STATUS_CODE]]=0),
DB_TBL_DATA_FIELDS[[#This Row],[FIELD_STATUS_CODE]],
"")
)</f>
        <v>-1</v>
      </c>
      <c r="Z69" s="8"/>
      <c r="AA69" s="11"/>
      <c r="AB69" s="11" t="s">
        <v>2562</v>
      </c>
      <c r="AC69" s="8" t="s">
        <v>3566</v>
      </c>
    </row>
    <row r="70" spans="1:29" x14ac:dyDescent="0.2">
      <c r="A70" s="4" t="s">
        <v>65</v>
      </c>
      <c r="B70" s="4" t="s">
        <v>64</v>
      </c>
      <c r="C70" s="16" t="str">
        <f ca="1">IF($H$10&lt;&gt;"R",IF(DB_TBL_DATA_FIELDS[[#This Row],[SHEET_REF_OWNER]]&lt;&gt;"",DB_TBL_DATA_FIELDS[[#This Row],[SHEET_REF_OWNER]],""),IF(DB_TBL_DATA_FIELDS[[#This Row],[SHEET_REF_RENTAL]]&lt;&gt;"",DB_TBL_DATA_FIELDS[[#This Row],[SHEET_REF_RENTAL]],""))</f>
        <v>RentalApp</v>
      </c>
      <c r="D70" s="4" t="s">
        <v>2519</v>
      </c>
      <c r="E70" s="4" t="b">
        <v>0</v>
      </c>
      <c r="F70" s="41" t="b">
        <f ca="1">AND(H68&lt;&gt;"",H68=TRUE)</f>
        <v>0</v>
      </c>
      <c r="G70" s="6" t="s">
        <v>2544</v>
      </c>
      <c r="H70" s="11" t="str">
        <f ca="1">IFERROR(VLOOKUP(DB_TBL_DATA_FIELDS[[#This Row],[FIELD_ID]],INDIRECT(DB_TBL_DATA_FIELDS[[#This Row],[SHEET_REF_CALC]]&amp;"!A:B"),2,FALSE),"")</f>
        <v/>
      </c>
      <c r="I70" s="29" t="str">
        <f ca="1">IF(DB_TBL_DATA_FIELDS[[#This Row],[FIELD_VALUE_RAW]]="","",H68=TRUE)</f>
        <v/>
      </c>
      <c r="J70" s="6" t="b">
        <f ca="1">(DB_TBL_DATA_FIELDS[[#This Row],[FIELD_VALUE_RAW]]="")</f>
        <v>1</v>
      </c>
      <c r="K70" s="6" t="s">
        <v>11</v>
      </c>
      <c r="L70" s="8" t="b">
        <f ca="1">AND(IF(DB_TBL_DATA_FIELDS[[#This Row],[FIELD_VALID_CUSTOM_LOGIC]]="",TRUE,DB_TBL_DATA_FIELDS[[#This Row],[FIELD_VALID_CUSTOM_LOGIC]]),DB_TBL_DATA_FIELDS[[#This Row],[RANGE_VALIDATION_PASSED_FLAG]])</f>
        <v>1</v>
      </c>
      <c r="M70"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0" s="8">
        <f ca="1">IF(DB_TBL_DATA_FIELDS[[#This Row],[SHEET_REF_CALC]]="","",IF(DB_TBL_DATA_FIELDS[[#This Row],[FIELD_EMPTY_FLAG]],IF(NOT(DB_TBL_DATA_FIELDS[[#This Row],[FIELD_REQ_FLAG]]),-1,1),IF(NOT(DB_TBL_DATA_FIELDS[[#This Row],[FIELD_VALID_FLAG]]),0,2)))</f>
        <v>-1</v>
      </c>
      <c r="O70" s="8" t="str">
        <f ca="1">IFERROR(VLOOKUP(DB_TBL_DATA_FIELDS[[#This Row],[FIELD_STATUS_CODE]],DB_TBL_CONFIG_FIELDSTATUSCODES[#All],3,FALSE),"")</f>
        <v>Optional</v>
      </c>
      <c r="P70" s="8" t="str">
        <f ca="1">IFERROR(VLOOKUP(DB_TBL_DATA_FIELDS[[#This Row],[FIELD_STATUS_CODE]],DB_TBL_CONFIG_FIELDSTATUSCODES[#All],4,FALSE),"")</f>
        <v xml:space="preserve"> </v>
      </c>
      <c r="Q70" s="8" t="b">
        <f>TRUE</f>
        <v>1</v>
      </c>
      <c r="R70" s="8" t="b">
        <f>TRUE</f>
        <v>1</v>
      </c>
      <c r="S70" s="4" t="s">
        <v>11</v>
      </c>
      <c r="T70" s="8">
        <f ca="1">IF(DB_TBL_DATA_FIELDS[[#This Row],[RANGE_VALIDATION_FLAG]]="Text",LEN(DB_TBL_DATA_FIELDS[[#This Row],[FIELD_VALUE_RAW]]),IFERROR(VALUE(DB_TBL_DATA_FIELDS[[#This Row],[FIELD_VALUE_RAW]]),-1))</f>
        <v>0</v>
      </c>
      <c r="U70" s="8">
        <v>0</v>
      </c>
      <c r="V70" s="101">
        <f>CONFIG_CHAR_LIMIT_SMALL</f>
        <v>1000</v>
      </c>
      <c r="W70" s="8" t="b">
        <f ca="1">IF(NOT(DB_TBL_DATA_FIELDS[[#This Row],[RANGE_VALIDATION_ON_FLAG]]),TRUE,
AND(DB_TBL_DATA_FIELDS[[#This Row],[RANGE_VALUE_LEN]]&gt;=DB_TBL_DATA_FIELDS[[#This Row],[RANGE_VALIDATION_MIN]],DB_TBL_DATA_FIELDS[[#This Row],[RANGE_VALUE_LEN]]&lt;=DB_TBL_DATA_FIELDS[[#This Row],[RANGE_VALIDATION_MAX]]))</f>
        <v>1</v>
      </c>
      <c r="X70" s="8">
        <v>1</v>
      </c>
      <c r="Y70" s="8">
        <f ca="1">IF(DB_TBL_DATA_FIELDS[[#This Row],[PCT_CALC_SHOW_STATUS_CODE]]=1,
DB_TBL_DATA_FIELDS[[#This Row],[FIELD_STATUS_CODE]],
IF(AND(DB_TBL_DATA_FIELDS[[#This Row],[PCT_CALC_SHOW_STATUS_CODE]]=2,DB_TBL_DATA_FIELDS[[#This Row],[FIELD_STATUS_CODE]]=0),
DB_TBL_DATA_FIELDS[[#This Row],[FIELD_STATUS_CODE]],
"")
)</f>
        <v>-1</v>
      </c>
      <c r="Z70" s="8"/>
      <c r="AA70" s="11" t="s">
        <v>2566</v>
      </c>
      <c r="AB70" s="11" t="s">
        <v>2562</v>
      </c>
      <c r="AC70" s="8"/>
    </row>
    <row r="71" spans="1:29" x14ac:dyDescent="0.2">
      <c r="A71" s="4"/>
      <c r="B71" s="4" t="s">
        <v>64</v>
      </c>
      <c r="C71" s="16" t="str">
        <f ca="1">IF($H$10&lt;&gt;"R",IF(DB_TBL_DATA_FIELDS[[#This Row],[SHEET_REF_OWNER]]&lt;&gt;"",DB_TBL_DATA_FIELDS[[#This Row],[SHEET_REF_OWNER]],""),IF(DB_TBL_DATA_FIELDS[[#This Row],[SHEET_REF_RENTAL]]&lt;&gt;"",DB_TBL_DATA_FIELDS[[#This Row],[SHEET_REF_RENTAL]],""))</f>
        <v>RentalApp</v>
      </c>
      <c r="D71" s="89" t="s">
        <v>2520</v>
      </c>
      <c r="E71" s="52" t="b">
        <v>1</v>
      </c>
      <c r="F71" s="54" t="b">
        <v>1</v>
      </c>
      <c r="G71" s="55" t="s">
        <v>2545</v>
      </c>
      <c r="H71" s="57" t="str">
        <f ca="1">IFERROR(VLOOKUP(DB_TBL_DATA_FIELDS[[#This Row],[FIELD_ID]],INDIRECT(DB_TBL_DATA_FIELDS[[#This Row],[SHEET_REF_CALC]]&amp;"!A:B"),2,FALSE),"")</f>
        <v/>
      </c>
      <c r="I71" s="57"/>
      <c r="J71" s="55" t="b">
        <f ca="1">(DB_TBL_DATA_FIELDS[[#This Row],[FIELD_VALUE_RAW]]="")</f>
        <v>1</v>
      </c>
      <c r="K71" s="55" t="s">
        <v>209</v>
      </c>
      <c r="L71" s="53" t="b">
        <f>AND(IF(DB_TBL_DATA_FIELDS[[#This Row],[FIELD_VALID_CUSTOM_LOGIC]]="",TRUE,DB_TBL_DATA_FIELDS[[#This Row],[FIELD_VALID_CUSTOM_LOGIC]]),DB_TBL_DATA_FIELDS[[#This Row],[RANGE_VALIDATION_PASSED_FLAG]])</f>
        <v>1</v>
      </c>
      <c r="M71" s="57"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1" s="53">
        <f ca="1">IF(DB_TBL_DATA_FIELDS[[#This Row],[SHEET_REF_CALC]]="","",IF(DB_TBL_DATA_FIELDS[[#This Row],[FIELD_EMPTY_FLAG]],IF(NOT(DB_TBL_DATA_FIELDS[[#This Row],[FIELD_REQ_FLAG]]),-1,1),IF(NOT(DB_TBL_DATA_FIELDS[[#This Row],[FIELD_VALID_FLAG]]),0,2)))</f>
        <v>1</v>
      </c>
      <c r="O71" s="53" t="str">
        <f ca="1">IFERROR(VLOOKUP(DB_TBL_DATA_FIELDS[[#This Row],[FIELD_STATUS_CODE]],DB_TBL_CONFIG_FIELDSTATUSCODES[#All],3,FALSE),"")</f>
        <v>Required</v>
      </c>
      <c r="P71" s="53" t="str">
        <f ca="1">IFERROR(VLOOKUP(DB_TBL_DATA_FIELDS[[#This Row],[FIELD_STATUS_CODE]],DB_TBL_CONFIG_FIELDSTATUSCODES[#All],4,FALSE),"")</f>
        <v>i</v>
      </c>
      <c r="Q71" s="53" t="b">
        <f>TRUE</f>
        <v>1</v>
      </c>
      <c r="R71" s="53" t="b">
        <v>0</v>
      </c>
      <c r="S71" s="4"/>
      <c r="T71" s="53">
        <f ca="1">IF(DB_TBL_DATA_FIELDS[[#This Row],[RANGE_VALIDATION_FLAG]]="Text",LEN(DB_TBL_DATA_FIELDS[[#This Row],[FIELD_VALUE_RAW]]),IFERROR(VALUE(DB_TBL_DATA_FIELDS[[#This Row],[FIELD_VALUE_RAW]]),-1))</f>
        <v>-1</v>
      </c>
      <c r="U71" s="53">
        <v>0</v>
      </c>
      <c r="V71" s="83">
        <v>1</v>
      </c>
      <c r="W71" s="53" t="b">
        <f>IF(NOT(DB_TBL_DATA_FIELDS[[#This Row],[RANGE_VALIDATION_ON_FLAG]]),TRUE,
AND(DB_TBL_DATA_FIELDS[[#This Row],[RANGE_VALUE_LEN]]&gt;=DB_TBL_DATA_FIELDS[[#This Row],[RANGE_VALIDATION_MIN]],DB_TBL_DATA_FIELDS[[#This Row],[RANGE_VALUE_LEN]]&lt;=DB_TBL_DATA_FIELDS[[#This Row],[RANGE_VALIDATION_MAX]]))</f>
        <v>1</v>
      </c>
      <c r="X71" s="8">
        <v>1</v>
      </c>
      <c r="Y71" s="53">
        <f ca="1">IF(DB_TBL_DATA_FIELDS[[#This Row],[PCT_CALC_SHOW_STATUS_CODE]]=1,
DB_TBL_DATA_FIELDS[[#This Row],[FIELD_STATUS_CODE]],
IF(AND(DB_TBL_DATA_FIELDS[[#This Row],[PCT_CALC_SHOW_STATUS_CODE]]=2,DB_TBL_DATA_FIELDS[[#This Row],[FIELD_STATUS_CODE]]=0),
DB_TBL_DATA_FIELDS[[#This Row],[FIELD_STATUS_CODE]],
"")
)</f>
        <v>1</v>
      </c>
      <c r="Z71" s="53"/>
      <c r="AA71" s="11" t="s">
        <v>2567</v>
      </c>
      <c r="AB71" s="11" t="s">
        <v>2562</v>
      </c>
      <c r="AC71" s="53"/>
    </row>
    <row r="72" spans="1:29" x14ac:dyDescent="0.2">
      <c r="A72" s="4" t="s">
        <v>65</v>
      </c>
      <c r="B72" s="4" t="s">
        <v>64</v>
      </c>
      <c r="C72" s="16" t="str">
        <f ca="1">IF($H$10&lt;&gt;"R",IF(DB_TBL_DATA_FIELDS[[#This Row],[SHEET_REF_OWNER]]&lt;&gt;"",DB_TBL_DATA_FIELDS[[#This Row],[SHEET_REF_OWNER]],""),IF(DB_TBL_DATA_FIELDS[[#This Row],[SHEET_REF_RENTAL]]&lt;&gt;"",DB_TBL_DATA_FIELDS[[#This Row],[SHEET_REF_RENTAL]],""))</f>
        <v>RentalApp</v>
      </c>
      <c r="D72" s="52" t="s">
        <v>2525</v>
      </c>
      <c r="E72" s="52" t="b">
        <v>1</v>
      </c>
      <c r="F72" s="54" t="b">
        <v>1</v>
      </c>
      <c r="G72" s="55" t="s">
        <v>2546</v>
      </c>
      <c r="H72" s="57" t="str">
        <f ca="1">IFERROR(VLOOKUP(DB_TBL_DATA_FIELDS[[#This Row],[FIELD_ID]],INDIRECT(DB_TBL_DATA_FIELDS[[#This Row],[SHEET_REF_CALC]]&amp;"!A:B"),2,FALSE),"")</f>
        <v/>
      </c>
      <c r="I72" s="57"/>
      <c r="J72" s="55" t="b">
        <f ca="1">(DB_TBL_DATA_FIELDS[[#This Row],[FIELD_VALUE_RAW]]="")</f>
        <v>1</v>
      </c>
      <c r="K72" s="55" t="s">
        <v>209</v>
      </c>
      <c r="L72" s="53" t="b">
        <f>AND(IF(DB_TBL_DATA_FIELDS[[#This Row],[FIELD_VALID_CUSTOM_LOGIC]]="",TRUE,DB_TBL_DATA_FIELDS[[#This Row],[FIELD_VALID_CUSTOM_LOGIC]]),DB_TBL_DATA_FIELDS[[#This Row],[RANGE_VALIDATION_PASSED_FLAG]])</f>
        <v>1</v>
      </c>
      <c r="M72" s="57"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2" s="53">
        <f ca="1">IF(DB_TBL_DATA_FIELDS[[#This Row],[SHEET_REF_CALC]]="","",IF(DB_TBL_DATA_FIELDS[[#This Row],[FIELD_EMPTY_FLAG]],IF(NOT(DB_TBL_DATA_FIELDS[[#This Row],[FIELD_REQ_FLAG]]),-1,1),IF(NOT(DB_TBL_DATA_FIELDS[[#This Row],[FIELD_VALID_FLAG]]),0,2)))</f>
        <v>1</v>
      </c>
      <c r="O72" s="53" t="str">
        <f ca="1">IFERROR(VLOOKUP(DB_TBL_DATA_FIELDS[[#This Row],[FIELD_STATUS_CODE]],DB_TBL_CONFIG_FIELDSTATUSCODES[#All],3,FALSE),"")</f>
        <v>Required</v>
      </c>
      <c r="P72" s="53" t="str">
        <f ca="1">IFERROR(VLOOKUP(DB_TBL_DATA_FIELDS[[#This Row],[FIELD_STATUS_CODE]],DB_TBL_CONFIG_FIELDSTATUSCODES[#All],4,FALSE),"")</f>
        <v>i</v>
      </c>
      <c r="Q72" s="53" t="b">
        <f>TRUE</f>
        <v>1</v>
      </c>
      <c r="R72" s="53" t="b">
        <v>0</v>
      </c>
      <c r="S72" s="4"/>
      <c r="T72" s="53">
        <f ca="1">IF(DB_TBL_DATA_FIELDS[[#This Row],[RANGE_VALIDATION_FLAG]]="Text",LEN(DB_TBL_DATA_FIELDS[[#This Row],[FIELD_VALUE_RAW]]),IFERROR(VALUE(DB_TBL_DATA_FIELDS[[#This Row],[FIELD_VALUE_RAW]]),-1))</f>
        <v>-1</v>
      </c>
      <c r="U72" s="53">
        <v>0</v>
      </c>
      <c r="V72" s="83">
        <v>1</v>
      </c>
      <c r="W72" s="53" t="b">
        <f>IF(NOT(DB_TBL_DATA_FIELDS[[#This Row],[RANGE_VALIDATION_ON_FLAG]]),TRUE,
AND(DB_TBL_DATA_FIELDS[[#This Row],[RANGE_VALUE_LEN]]&gt;=DB_TBL_DATA_FIELDS[[#This Row],[RANGE_VALIDATION_MIN]],DB_TBL_DATA_FIELDS[[#This Row],[RANGE_VALUE_LEN]]&lt;=DB_TBL_DATA_FIELDS[[#This Row],[RANGE_VALIDATION_MAX]]))</f>
        <v>1</v>
      </c>
      <c r="X72" s="8">
        <v>1</v>
      </c>
      <c r="Y72" s="53">
        <f ca="1">IF(DB_TBL_DATA_FIELDS[[#This Row],[PCT_CALC_SHOW_STATUS_CODE]]=1,
DB_TBL_DATA_FIELDS[[#This Row],[FIELD_STATUS_CODE]],
IF(AND(DB_TBL_DATA_FIELDS[[#This Row],[PCT_CALC_SHOW_STATUS_CODE]]=2,DB_TBL_DATA_FIELDS[[#This Row],[FIELD_STATUS_CODE]]=0),
DB_TBL_DATA_FIELDS[[#This Row],[FIELD_STATUS_CODE]],
"")
)</f>
        <v>1</v>
      </c>
      <c r="Z72" s="53"/>
      <c r="AA72" s="11" t="s">
        <v>2568</v>
      </c>
      <c r="AB72" s="11" t="s">
        <v>2562</v>
      </c>
      <c r="AC72" s="53"/>
    </row>
    <row r="73" spans="1:29" x14ac:dyDescent="0.2">
      <c r="A73" s="4" t="s">
        <v>65</v>
      </c>
      <c r="B73" s="4" t="s">
        <v>64</v>
      </c>
      <c r="C73" s="16" t="str">
        <f ca="1">IF($H$10&lt;&gt;"R",IF(DB_TBL_DATA_FIELDS[[#This Row],[SHEET_REF_OWNER]]&lt;&gt;"",DB_TBL_DATA_FIELDS[[#This Row],[SHEET_REF_OWNER]],""),IF(DB_TBL_DATA_FIELDS[[#This Row],[SHEET_REF_RENTAL]]&lt;&gt;"",DB_TBL_DATA_FIELDS[[#This Row],[SHEET_REF_RENTAL]],""))</f>
        <v>RentalApp</v>
      </c>
      <c r="D73" s="52" t="s">
        <v>2526</v>
      </c>
      <c r="E73" s="52" t="b">
        <v>1</v>
      </c>
      <c r="F73" s="54" t="b">
        <v>1</v>
      </c>
      <c r="G73" s="55" t="s">
        <v>2547</v>
      </c>
      <c r="H73" s="57" t="str">
        <f ca="1">IFERROR(VLOOKUP(DB_TBL_DATA_FIELDS[[#This Row],[FIELD_ID]],INDIRECT(DB_TBL_DATA_FIELDS[[#This Row],[SHEET_REF_CALC]]&amp;"!A:B"),2,FALSE),"")</f>
        <v/>
      </c>
      <c r="I73" s="57"/>
      <c r="J73" s="55" t="b">
        <f ca="1">(DB_TBL_DATA_FIELDS[[#This Row],[FIELD_VALUE_RAW]]="")</f>
        <v>1</v>
      </c>
      <c r="K73" s="55" t="s">
        <v>209</v>
      </c>
      <c r="L73" s="53" t="b">
        <f>AND(IF(DB_TBL_DATA_FIELDS[[#This Row],[FIELD_VALID_CUSTOM_LOGIC]]="",TRUE,DB_TBL_DATA_FIELDS[[#This Row],[FIELD_VALID_CUSTOM_LOGIC]]),DB_TBL_DATA_FIELDS[[#This Row],[RANGE_VALIDATION_PASSED_FLAG]])</f>
        <v>1</v>
      </c>
      <c r="M73" s="57"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3" s="53">
        <f ca="1">IF(DB_TBL_DATA_FIELDS[[#This Row],[SHEET_REF_CALC]]="","",IF(DB_TBL_DATA_FIELDS[[#This Row],[FIELD_EMPTY_FLAG]],IF(NOT(DB_TBL_DATA_FIELDS[[#This Row],[FIELD_REQ_FLAG]]),-1,1),IF(NOT(DB_TBL_DATA_FIELDS[[#This Row],[FIELD_VALID_FLAG]]),0,2)))</f>
        <v>1</v>
      </c>
      <c r="O73" s="53" t="str">
        <f ca="1">IFERROR(VLOOKUP(DB_TBL_DATA_FIELDS[[#This Row],[FIELD_STATUS_CODE]],DB_TBL_CONFIG_FIELDSTATUSCODES[#All],3,FALSE),"")</f>
        <v>Required</v>
      </c>
      <c r="P73" s="53" t="str">
        <f ca="1">IFERROR(VLOOKUP(DB_TBL_DATA_FIELDS[[#This Row],[FIELD_STATUS_CODE]],DB_TBL_CONFIG_FIELDSTATUSCODES[#All],4,FALSE),"")</f>
        <v>i</v>
      </c>
      <c r="Q73" s="53" t="b">
        <f>TRUE</f>
        <v>1</v>
      </c>
      <c r="R73" s="53" t="b">
        <v>0</v>
      </c>
      <c r="S73" s="4"/>
      <c r="T73" s="53">
        <f ca="1">IF(DB_TBL_DATA_FIELDS[[#This Row],[RANGE_VALIDATION_FLAG]]="Text",LEN(DB_TBL_DATA_FIELDS[[#This Row],[FIELD_VALUE_RAW]]),IFERROR(VALUE(DB_TBL_DATA_FIELDS[[#This Row],[FIELD_VALUE_RAW]]),-1))</f>
        <v>-1</v>
      </c>
      <c r="U73" s="53">
        <v>0</v>
      </c>
      <c r="V73" s="83">
        <v>1</v>
      </c>
      <c r="W73" s="53" t="b">
        <f>IF(NOT(DB_TBL_DATA_FIELDS[[#This Row],[RANGE_VALIDATION_ON_FLAG]]),TRUE,
AND(DB_TBL_DATA_FIELDS[[#This Row],[RANGE_VALUE_LEN]]&gt;=DB_TBL_DATA_FIELDS[[#This Row],[RANGE_VALIDATION_MIN]],DB_TBL_DATA_FIELDS[[#This Row],[RANGE_VALUE_LEN]]&lt;=DB_TBL_DATA_FIELDS[[#This Row],[RANGE_VALIDATION_MAX]]))</f>
        <v>1</v>
      </c>
      <c r="X73" s="8">
        <v>1</v>
      </c>
      <c r="Y73" s="53">
        <f ca="1">IF(DB_TBL_DATA_FIELDS[[#This Row],[PCT_CALC_SHOW_STATUS_CODE]]=1,
DB_TBL_DATA_FIELDS[[#This Row],[FIELD_STATUS_CODE]],
IF(AND(DB_TBL_DATA_FIELDS[[#This Row],[PCT_CALC_SHOW_STATUS_CODE]]=2,DB_TBL_DATA_FIELDS[[#This Row],[FIELD_STATUS_CODE]]=0),
DB_TBL_DATA_FIELDS[[#This Row],[FIELD_STATUS_CODE]],
"")
)</f>
        <v>1</v>
      </c>
      <c r="Z73" s="53"/>
      <c r="AA73" s="11" t="s">
        <v>2569</v>
      </c>
      <c r="AB73" s="11" t="s">
        <v>2562</v>
      </c>
      <c r="AC73" s="53"/>
    </row>
    <row r="74" spans="1:29" x14ac:dyDescent="0.2">
      <c r="A74" s="4" t="s">
        <v>65</v>
      </c>
      <c r="B74" s="4" t="s">
        <v>64</v>
      </c>
      <c r="C74" s="16" t="str">
        <f ca="1">IF($H$10&lt;&gt;"R",IF(DB_TBL_DATA_FIELDS[[#This Row],[SHEET_REF_OWNER]]&lt;&gt;"",DB_TBL_DATA_FIELDS[[#This Row],[SHEET_REF_OWNER]],""),IF(DB_TBL_DATA_FIELDS[[#This Row],[SHEET_REF_RENTAL]]&lt;&gt;"",DB_TBL_DATA_FIELDS[[#This Row],[SHEET_REF_RENTAL]],""))</f>
        <v>RentalApp</v>
      </c>
      <c r="D74" s="52" t="s">
        <v>2527</v>
      </c>
      <c r="E74" s="52" t="b">
        <v>1</v>
      </c>
      <c r="F74" s="54" t="b">
        <v>1</v>
      </c>
      <c r="G74" s="55" t="s">
        <v>2548</v>
      </c>
      <c r="H74" s="57" t="str">
        <f ca="1">IFERROR(VLOOKUP(DB_TBL_DATA_FIELDS[[#This Row],[FIELD_ID]],INDIRECT(DB_TBL_DATA_FIELDS[[#This Row],[SHEET_REF_CALC]]&amp;"!A:B"),2,FALSE),"")</f>
        <v/>
      </c>
      <c r="I74" s="57"/>
      <c r="J74" s="55" t="b">
        <f ca="1">(DB_TBL_DATA_FIELDS[[#This Row],[FIELD_VALUE_RAW]]="")</f>
        <v>1</v>
      </c>
      <c r="K74" s="55" t="s">
        <v>209</v>
      </c>
      <c r="L74" s="53" t="b">
        <f>AND(IF(DB_TBL_DATA_FIELDS[[#This Row],[FIELD_VALID_CUSTOM_LOGIC]]="",TRUE,DB_TBL_DATA_FIELDS[[#This Row],[FIELD_VALID_CUSTOM_LOGIC]]),DB_TBL_DATA_FIELDS[[#This Row],[RANGE_VALIDATION_PASSED_FLAG]])</f>
        <v>1</v>
      </c>
      <c r="M74" s="57"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4" s="53">
        <f ca="1">IF(DB_TBL_DATA_FIELDS[[#This Row],[SHEET_REF_CALC]]="","",IF(DB_TBL_DATA_FIELDS[[#This Row],[FIELD_EMPTY_FLAG]],IF(NOT(DB_TBL_DATA_FIELDS[[#This Row],[FIELD_REQ_FLAG]]),-1,1),IF(NOT(DB_TBL_DATA_FIELDS[[#This Row],[FIELD_VALID_FLAG]]),0,2)))</f>
        <v>1</v>
      </c>
      <c r="O74" s="53" t="str">
        <f ca="1">IFERROR(VLOOKUP(DB_TBL_DATA_FIELDS[[#This Row],[FIELD_STATUS_CODE]],DB_TBL_CONFIG_FIELDSTATUSCODES[#All],3,FALSE),"")</f>
        <v>Required</v>
      </c>
      <c r="P74" s="53" t="str">
        <f ca="1">IFERROR(VLOOKUP(DB_TBL_DATA_FIELDS[[#This Row],[FIELD_STATUS_CODE]],DB_TBL_CONFIG_FIELDSTATUSCODES[#All],4,FALSE),"")</f>
        <v>i</v>
      </c>
      <c r="Q74" s="53" t="b">
        <f>TRUE</f>
        <v>1</v>
      </c>
      <c r="R74" s="53" t="b">
        <v>0</v>
      </c>
      <c r="S74" s="4"/>
      <c r="T74" s="53">
        <f ca="1">IF(DB_TBL_DATA_FIELDS[[#This Row],[RANGE_VALIDATION_FLAG]]="Text",LEN(DB_TBL_DATA_FIELDS[[#This Row],[FIELD_VALUE_RAW]]),IFERROR(VALUE(DB_TBL_DATA_FIELDS[[#This Row],[FIELD_VALUE_RAW]]),-1))</f>
        <v>-1</v>
      </c>
      <c r="U74" s="53">
        <v>0</v>
      </c>
      <c r="V74" s="83">
        <v>1</v>
      </c>
      <c r="W74" s="53" t="b">
        <f>IF(NOT(DB_TBL_DATA_FIELDS[[#This Row],[RANGE_VALIDATION_ON_FLAG]]),TRUE,
AND(DB_TBL_DATA_FIELDS[[#This Row],[RANGE_VALUE_LEN]]&gt;=DB_TBL_DATA_FIELDS[[#This Row],[RANGE_VALIDATION_MIN]],DB_TBL_DATA_FIELDS[[#This Row],[RANGE_VALUE_LEN]]&lt;=DB_TBL_DATA_FIELDS[[#This Row],[RANGE_VALIDATION_MAX]]))</f>
        <v>1</v>
      </c>
      <c r="X74" s="8">
        <v>1</v>
      </c>
      <c r="Y74" s="53">
        <f ca="1">IF(DB_TBL_DATA_FIELDS[[#This Row],[PCT_CALC_SHOW_STATUS_CODE]]=1,
DB_TBL_DATA_FIELDS[[#This Row],[FIELD_STATUS_CODE]],
IF(AND(DB_TBL_DATA_FIELDS[[#This Row],[PCT_CALC_SHOW_STATUS_CODE]]=2,DB_TBL_DATA_FIELDS[[#This Row],[FIELD_STATUS_CODE]]=0),
DB_TBL_DATA_FIELDS[[#This Row],[FIELD_STATUS_CODE]],
"")
)</f>
        <v>1</v>
      </c>
      <c r="Z74" s="53"/>
      <c r="AA74" s="11" t="s">
        <v>2570</v>
      </c>
      <c r="AB74" s="11" t="s">
        <v>2562</v>
      </c>
      <c r="AC74" s="53"/>
    </row>
    <row r="75" spans="1:29" x14ac:dyDescent="0.2">
      <c r="A75" s="4"/>
      <c r="B75" s="4" t="s">
        <v>64</v>
      </c>
      <c r="C75" s="16" t="str">
        <f ca="1">IF($H$10&lt;&gt;"R",IF(DB_TBL_DATA_FIELDS[[#This Row],[SHEET_REF_OWNER]]&lt;&gt;"",DB_TBL_DATA_FIELDS[[#This Row],[SHEET_REF_OWNER]],""),IF(DB_TBL_DATA_FIELDS[[#This Row],[SHEET_REF_RENTAL]]&lt;&gt;"",DB_TBL_DATA_FIELDS[[#This Row],[SHEET_REF_RENTAL]],""))</f>
        <v>RentalApp</v>
      </c>
      <c r="D75" s="89" t="s">
        <v>2528</v>
      </c>
      <c r="E75" s="52" t="b">
        <v>1</v>
      </c>
      <c r="F75" s="54" t="b">
        <v>1</v>
      </c>
      <c r="G75" s="55" t="s">
        <v>2549</v>
      </c>
      <c r="H75" s="57" t="str">
        <f ca="1">IFERROR(VLOOKUP(DB_TBL_DATA_FIELDS[[#This Row],[FIELD_ID]],INDIRECT(DB_TBL_DATA_FIELDS[[#This Row],[SHEET_REF_CALC]]&amp;"!A:B"),2,FALSE),"")</f>
        <v/>
      </c>
      <c r="I75" s="57"/>
      <c r="J75" s="55" t="b">
        <f ca="1">(DB_TBL_DATA_FIELDS[[#This Row],[FIELD_VALUE_RAW]]="")</f>
        <v>1</v>
      </c>
      <c r="K75" s="55" t="s">
        <v>209</v>
      </c>
      <c r="L75" s="53" t="b">
        <f>AND(IF(DB_TBL_DATA_FIELDS[[#This Row],[FIELD_VALID_CUSTOM_LOGIC]]="",TRUE,DB_TBL_DATA_FIELDS[[#This Row],[FIELD_VALID_CUSTOM_LOGIC]]),DB_TBL_DATA_FIELDS[[#This Row],[RANGE_VALIDATION_PASSED_FLAG]])</f>
        <v>1</v>
      </c>
      <c r="M75" s="57"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5" s="53">
        <f ca="1">IF(DB_TBL_DATA_FIELDS[[#This Row],[SHEET_REF_CALC]]="","",IF(DB_TBL_DATA_FIELDS[[#This Row],[FIELD_EMPTY_FLAG]],IF(NOT(DB_TBL_DATA_FIELDS[[#This Row],[FIELD_REQ_FLAG]]),-1,1),IF(NOT(DB_TBL_DATA_FIELDS[[#This Row],[FIELD_VALID_FLAG]]),0,2)))</f>
        <v>1</v>
      </c>
      <c r="O75" s="53" t="str">
        <f ca="1">IFERROR(VLOOKUP(DB_TBL_DATA_FIELDS[[#This Row],[FIELD_STATUS_CODE]],DB_TBL_CONFIG_FIELDSTATUSCODES[#All],3,FALSE),"")</f>
        <v>Required</v>
      </c>
      <c r="P75" s="53" t="str">
        <f ca="1">IFERROR(VLOOKUP(DB_TBL_DATA_FIELDS[[#This Row],[FIELD_STATUS_CODE]],DB_TBL_CONFIG_FIELDSTATUSCODES[#All],4,FALSE),"")</f>
        <v>i</v>
      </c>
      <c r="Q75" s="53" t="b">
        <f>TRUE</f>
        <v>1</v>
      </c>
      <c r="R75" s="53" t="b">
        <v>0</v>
      </c>
      <c r="S75" s="4"/>
      <c r="T75" s="53">
        <f ca="1">IF(DB_TBL_DATA_FIELDS[[#This Row],[RANGE_VALIDATION_FLAG]]="Text",LEN(DB_TBL_DATA_FIELDS[[#This Row],[FIELD_VALUE_RAW]]),IFERROR(VALUE(DB_TBL_DATA_FIELDS[[#This Row],[FIELD_VALUE_RAW]]),-1))</f>
        <v>-1</v>
      </c>
      <c r="U75" s="53">
        <v>0</v>
      </c>
      <c r="V75" s="83">
        <v>1</v>
      </c>
      <c r="W75" s="53" t="b">
        <f>IF(NOT(DB_TBL_DATA_FIELDS[[#This Row],[RANGE_VALIDATION_ON_FLAG]]),TRUE,
AND(DB_TBL_DATA_FIELDS[[#This Row],[RANGE_VALUE_LEN]]&gt;=DB_TBL_DATA_FIELDS[[#This Row],[RANGE_VALIDATION_MIN]],DB_TBL_DATA_FIELDS[[#This Row],[RANGE_VALUE_LEN]]&lt;=DB_TBL_DATA_FIELDS[[#This Row],[RANGE_VALIDATION_MAX]]))</f>
        <v>1</v>
      </c>
      <c r="X75" s="8">
        <v>1</v>
      </c>
      <c r="Y75" s="53">
        <f ca="1">IF(DB_TBL_DATA_FIELDS[[#This Row],[PCT_CALC_SHOW_STATUS_CODE]]=1,
DB_TBL_DATA_FIELDS[[#This Row],[FIELD_STATUS_CODE]],
IF(AND(DB_TBL_DATA_FIELDS[[#This Row],[PCT_CALC_SHOW_STATUS_CODE]]=2,DB_TBL_DATA_FIELDS[[#This Row],[FIELD_STATUS_CODE]]=0),
DB_TBL_DATA_FIELDS[[#This Row],[FIELD_STATUS_CODE]],
"")
)</f>
        <v>1</v>
      </c>
      <c r="Z75" s="53"/>
      <c r="AA75" s="11" t="s">
        <v>2571</v>
      </c>
      <c r="AB75" s="11" t="s">
        <v>2562</v>
      </c>
      <c r="AC75" s="53"/>
    </row>
    <row r="76" spans="1:29" x14ac:dyDescent="0.2">
      <c r="A76" s="4"/>
      <c r="B76" s="4" t="s">
        <v>64</v>
      </c>
      <c r="C76" s="16" t="str">
        <f ca="1">IF($H$10&lt;&gt;"R",IF(DB_TBL_DATA_FIELDS[[#This Row],[SHEET_REF_OWNER]]&lt;&gt;"",DB_TBL_DATA_FIELDS[[#This Row],[SHEET_REF_OWNER]],""),IF(DB_TBL_DATA_FIELDS[[#This Row],[SHEET_REF_RENTAL]]&lt;&gt;"",DB_TBL_DATA_FIELDS[[#This Row],[SHEET_REF_RENTAL]],""))</f>
        <v>RentalApp</v>
      </c>
      <c r="D76" s="89" t="s">
        <v>2529</v>
      </c>
      <c r="E76" s="52" t="b">
        <v>1</v>
      </c>
      <c r="F76" s="84" t="b">
        <f ca="1">AND($H$75&lt;&gt;"",$H$75=TRUE)</f>
        <v>0</v>
      </c>
      <c r="G76" s="55" t="s">
        <v>2550</v>
      </c>
      <c r="H76" s="57" t="str">
        <f ca="1">IFERROR(VLOOKUP(DB_TBL_DATA_FIELDS[[#This Row],[FIELD_ID]],INDIRECT(DB_TBL_DATA_FIELDS[[#This Row],[SHEET_REF_CALC]]&amp;"!A:B"),2,FALSE),"")</f>
        <v/>
      </c>
      <c r="I76" s="29" t="str">
        <f ca="1">IF(DB_TBL_DATA_FIELDS[[#This Row],[FIELD_VALUE_RAW]]="","",H75=TRUE)</f>
        <v/>
      </c>
      <c r="J76" s="55" t="b">
        <f ca="1">(DB_TBL_DATA_FIELDS[[#This Row],[FIELD_VALUE_RAW]]="")</f>
        <v>1</v>
      </c>
      <c r="K76" s="55" t="s">
        <v>62</v>
      </c>
      <c r="L76" s="53" t="b">
        <f ca="1">AND(IF(DB_TBL_DATA_FIELDS[[#This Row],[FIELD_VALID_CUSTOM_LOGIC]]="",TRUE,DB_TBL_DATA_FIELDS[[#This Row],[FIELD_VALID_CUSTOM_LOGIC]]),DB_TBL_DATA_FIELDS[[#This Row],[RANGE_VALIDATION_PASSED_FLAG]])</f>
        <v>0</v>
      </c>
      <c r="M76" s="57"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6" s="53">
        <f ca="1">IF(DB_TBL_DATA_FIELDS[[#This Row],[SHEET_REF_CALC]]="","",IF(DB_TBL_DATA_FIELDS[[#This Row],[FIELD_EMPTY_FLAG]],IF(NOT(DB_TBL_DATA_FIELDS[[#This Row],[FIELD_REQ_FLAG]]),-1,1),IF(NOT(DB_TBL_DATA_FIELDS[[#This Row],[FIELD_VALID_FLAG]]),0,2)))</f>
        <v>-1</v>
      </c>
      <c r="O76" s="53" t="str">
        <f ca="1">IFERROR(VLOOKUP(DB_TBL_DATA_FIELDS[[#This Row],[FIELD_STATUS_CODE]],DB_TBL_CONFIG_FIELDSTATUSCODES[#All],3,FALSE),"")</f>
        <v>Optional</v>
      </c>
      <c r="P76" s="53" t="str">
        <f ca="1">IFERROR(VLOOKUP(DB_TBL_DATA_FIELDS[[#This Row],[FIELD_STATUS_CODE]],DB_TBL_CONFIG_FIELDSTATUSCODES[#All],4,FALSE),"")</f>
        <v xml:space="preserve"> </v>
      </c>
      <c r="Q76" s="53" t="b">
        <f>TRUE</f>
        <v>1</v>
      </c>
      <c r="R76" s="53" t="b">
        <f>TRUE</f>
        <v>1</v>
      </c>
      <c r="S76" s="52" t="s">
        <v>62</v>
      </c>
      <c r="T76" s="53">
        <f ca="1">IF(DB_TBL_DATA_FIELDS[[#This Row],[RANGE_VALIDATION_FLAG]]="Text",LEN(DB_TBL_DATA_FIELDS[[#This Row],[FIELD_VALUE_RAW]]),IFERROR(VALUE(DB_TBL_DATA_FIELDS[[#This Row],[FIELD_VALUE_RAW]]),-1))</f>
        <v>-1</v>
      </c>
      <c r="U76" s="53">
        <v>1</v>
      </c>
      <c r="V76" s="8">
        <v>999999999999</v>
      </c>
      <c r="W76" s="53" t="b">
        <f ca="1">IF(NOT(DB_TBL_DATA_FIELDS[[#This Row],[RANGE_VALIDATION_ON_FLAG]]),TRUE,
AND(DB_TBL_DATA_FIELDS[[#This Row],[RANGE_VALUE_LEN]]&gt;=DB_TBL_DATA_FIELDS[[#This Row],[RANGE_VALIDATION_MIN]],DB_TBL_DATA_FIELDS[[#This Row],[RANGE_VALUE_LEN]]&lt;=DB_TBL_DATA_FIELDS[[#This Row],[RANGE_VALIDATION_MAX]]))</f>
        <v>0</v>
      </c>
      <c r="X76" s="8">
        <v>1</v>
      </c>
      <c r="Y76" s="53">
        <f ca="1">IF(DB_TBL_DATA_FIELDS[[#This Row],[PCT_CALC_SHOW_STATUS_CODE]]=1,
DB_TBL_DATA_FIELDS[[#This Row],[FIELD_STATUS_CODE]],
IF(AND(DB_TBL_DATA_FIELDS[[#This Row],[PCT_CALC_SHOW_STATUS_CODE]]=2,DB_TBL_DATA_FIELDS[[#This Row],[FIELD_STATUS_CODE]]=0),
DB_TBL_DATA_FIELDS[[#This Row],[FIELD_STATUS_CODE]],
"")
)</f>
        <v>-1</v>
      </c>
      <c r="Z76" s="53"/>
      <c r="AA76" s="11" t="s">
        <v>2572</v>
      </c>
      <c r="AB76" s="11" t="s">
        <v>2562</v>
      </c>
      <c r="AC76" s="53"/>
    </row>
    <row r="77" spans="1:29" x14ac:dyDescent="0.2">
      <c r="A77" s="4"/>
      <c r="B77" s="4" t="s">
        <v>64</v>
      </c>
      <c r="C77" s="16" t="str">
        <f ca="1">IF($H$10&lt;&gt;"R",IF(DB_TBL_DATA_FIELDS[[#This Row],[SHEET_REF_OWNER]]&lt;&gt;"",DB_TBL_DATA_FIELDS[[#This Row],[SHEET_REF_OWNER]],""),IF(DB_TBL_DATA_FIELDS[[#This Row],[SHEET_REF_RENTAL]]&lt;&gt;"",DB_TBL_DATA_FIELDS[[#This Row],[SHEET_REF_RENTAL]],""))</f>
        <v>RentalApp</v>
      </c>
      <c r="D77" s="89" t="s">
        <v>2530</v>
      </c>
      <c r="E77" s="52" t="b">
        <v>1</v>
      </c>
      <c r="F77" s="84" t="b">
        <f ca="1">AND($H$75&lt;&gt;"",$H$75=TRUE)</f>
        <v>0</v>
      </c>
      <c r="G77" s="55" t="s">
        <v>2551</v>
      </c>
      <c r="H77" s="57" t="str">
        <f ca="1">IFERROR(VLOOKUP(DB_TBL_DATA_FIELDS[[#This Row],[FIELD_ID]],INDIRECT(DB_TBL_DATA_FIELDS[[#This Row],[SHEET_REF_CALC]]&amp;"!A:B"),2,FALSE),"")</f>
        <v/>
      </c>
      <c r="I77" s="29" t="str">
        <f ca="1">IF(DB_TBL_DATA_FIELDS[[#This Row],[FIELD_VALUE_RAW]]="","",H75=TRUE)</f>
        <v/>
      </c>
      <c r="J77" s="55" t="b">
        <f ca="1">(DB_TBL_DATA_FIELDS[[#This Row],[FIELD_VALUE_RAW]]="")</f>
        <v>1</v>
      </c>
      <c r="K77" s="55" t="s">
        <v>62</v>
      </c>
      <c r="L77" s="53" t="b">
        <f ca="1">AND(IF(DB_TBL_DATA_FIELDS[[#This Row],[FIELD_VALID_CUSTOM_LOGIC]]="",TRUE,DB_TBL_DATA_FIELDS[[#This Row],[FIELD_VALID_CUSTOM_LOGIC]]),DB_TBL_DATA_FIELDS[[#This Row],[RANGE_VALIDATION_PASSED_FLAG]])</f>
        <v>0</v>
      </c>
      <c r="M77" s="57"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7" s="53">
        <f ca="1">IF(DB_TBL_DATA_FIELDS[[#This Row],[SHEET_REF_CALC]]="","",IF(DB_TBL_DATA_FIELDS[[#This Row],[FIELD_EMPTY_FLAG]],IF(NOT(DB_TBL_DATA_FIELDS[[#This Row],[FIELD_REQ_FLAG]]),-1,1),IF(NOT(DB_TBL_DATA_FIELDS[[#This Row],[FIELD_VALID_FLAG]]),0,2)))</f>
        <v>-1</v>
      </c>
      <c r="O77" s="53" t="str">
        <f ca="1">IFERROR(VLOOKUP(DB_TBL_DATA_FIELDS[[#This Row],[FIELD_STATUS_CODE]],DB_TBL_CONFIG_FIELDSTATUSCODES[#All],3,FALSE),"")</f>
        <v>Optional</v>
      </c>
      <c r="P77" s="53" t="str">
        <f ca="1">IFERROR(VLOOKUP(DB_TBL_DATA_FIELDS[[#This Row],[FIELD_STATUS_CODE]],DB_TBL_CONFIG_FIELDSTATUSCODES[#All],4,FALSE),"")</f>
        <v xml:space="preserve"> </v>
      </c>
      <c r="Q77" s="53" t="b">
        <f>TRUE</f>
        <v>1</v>
      </c>
      <c r="R77" s="53" t="b">
        <f>TRUE</f>
        <v>1</v>
      </c>
      <c r="S77" s="52" t="s">
        <v>62</v>
      </c>
      <c r="T77" s="53">
        <f ca="1">IF(DB_TBL_DATA_FIELDS[[#This Row],[RANGE_VALIDATION_FLAG]]="Text",LEN(DB_TBL_DATA_FIELDS[[#This Row],[FIELD_VALUE_RAW]]),IFERROR(VALUE(DB_TBL_DATA_FIELDS[[#This Row],[FIELD_VALUE_RAW]]),-1))</f>
        <v>-1</v>
      </c>
      <c r="U77" s="53">
        <v>1</v>
      </c>
      <c r="V77" s="8">
        <v>999999999999</v>
      </c>
      <c r="W77" s="53" t="b">
        <f ca="1">IF(NOT(DB_TBL_DATA_FIELDS[[#This Row],[RANGE_VALIDATION_ON_FLAG]]),TRUE,
AND(DB_TBL_DATA_FIELDS[[#This Row],[RANGE_VALUE_LEN]]&gt;=DB_TBL_DATA_FIELDS[[#This Row],[RANGE_VALIDATION_MIN]],DB_TBL_DATA_FIELDS[[#This Row],[RANGE_VALUE_LEN]]&lt;=DB_TBL_DATA_FIELDS[[#This Row],[RANGE_VALIDATION_MAX]]))</f>
        <v>0</v>
      </c>
      <c r="X77" s="8">
        <v>1</v>
      </c>
      <c r="Y77" s="53">
        <f ca="1">IF(DB_TBL_DATA_FIELDS[[#This Row],[PCT_CALC_SHOW_STATUS_CODE]]=1,
DB_TBL_DATA_FIELDS[[#This Row],[FIELD_STATUS_CODE]],
IF(AND(DB_TBL_DATA_FIELDS[[#This Row],[PCT_CALC_SHOW_STATUS_CODE]]=2,DB_TBL_DATA_FIELDS[[#This Row],[FIELD_STATUS_CODE]]=0),
DB_TBL_DATA_FIELDS[[#This Row],[FIELD_STATUS_CODE]],
"")
)</f>
        <v>-1</v>
      </c>
      <c r="Z77" s="53"/>
      <c r="AA77" s="11" t="s">
        <v>2573</v>
      </c>
      <c r="AB77" s="11" t="s">
        <v>2562</v>
      </c>
      <c r="AC77" s="53"/>
    </row>
    <row r="78" spans="1:29" x14ac:dyDescent="0.2">
      <c r="A78" s="4"/>
      <c r="B78" s="4" t="s">
        <v>64</v>
      </c>
      <c r="C78" s="16" t="str">
        <f ca="1">IF($H$10&lt;&gt;"R",IF(DB_TBL_DATA_FIELDS[[#This Row],[SHEET_REF_OWNER]]&lt;&gt;"",DB_TBL_DATA_FIELDS[[#This Row],[SHEET_REF_OWNER]],""),IF(DB_TBL_DATA_FIELDS[[#This Row],[SHEET_REF_RENTAL]]&lt;&gt;"",DB_TBL_DATA_FIELDS[[#This Row],[SHEET_REF_RENTAL]],""))</f>
        <v>RentalApp</v>
      </c>
      <c r="D78" s="89" t="s">
        <v>2531</v>
      </c>
      <c r="E78" s="52" t="b">
        <v>1</v>
      </c>
      <c r="F78" s="84" t="b">
        <f ca="1">AND($H$75&lt;&gt;"",$H$75=TRUE)</f>
        <v>0</v>
      </c>
      <c r="G78" s="55" t="s">
        <v>2552</v>
      </c>
      <c r="H78" s="57" t="str">
        <f ca="1">IFERROR(VLOOKUP(DB_TBL_DATA_FIELDS[[#This Row],[FIELD_ID]],INDIRECT(DB_TBL_DATA_FIELDS[[#This Row],[SHEET_REF_CALC]]&amp;"!A:B"),2,FALSE),"")</f>
        <v/>
      </c>
      <c r="I78" s="29" t="str">
        <f ca="1">IF(DB_TBL_DATA_FIELDS[[#This Row],[FIELD_VALUE_RAW]]="","",AND(H75=TRUE,DB_TBL_DATA_FIELDS[[#This Row],[FIELD_VALUE_RAW]]&gt;0))</f>
        <v/>
      </c>
      <c r="J78" s="55" t="b">
        <f ca="1">(DB_TBL_DATA_FIELDS[[#This Row],[FIELD_VALUE_RAW]]="")</f>
        <v>1</v>
      </c>
      <c r="K78" s="55" t="s">
        <v>62</v>
      </c>
      <c r="L78" s="53" t="b">
        <f ca="1">AND(IF(DB_TBL_DATA_FIELDS[[#This Row],[FIELD_VALID_CUSTOM_LOGIC]]="",TRUE,DB_TBL_DATA_FIELDS[[#This Row],[FIELD_VALID_CUSTOM_LOGIC]]),DB_TBL_DATA_FIELDS[[#This Row],[RANGE_VALIDATION_PASSED_FLAG]])</f>
        <v>0</v>
      </c>
      <c r="M78" s="57"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8" s="53">
        <f ca="1">IF(DB_TBL_DATA_FIELDS[[#This Row],[SHEET_REF_CALC]]="","",IF(DB_TBL_DATA_FIELDS[[#This Row],[FIELD_EMPTY_FLAG]],IF(NOT(DB_TBL_DATA_FIELDS[[#This Row],[FIELD_REQ_FLAG]]),-1,1),IF(NOT(DB_TBL_DATA_FIELDS[[#This Row],[FIELD_VALID_FLAG]]),0,2)))</f>
        <v>-1</v>
      </c>
      <c r="O78" s="53" t="str">
        <f ca="1">IFERROR(VLOOKUP(DB_TBL_DATA_FIELDS[[#This Row],[FIELD_STATUS_CODE]],DB_TBL_CONFIG_FIELDSTATUSCODES[#All],3,FALSE),"")</f>
        <v>Optional</v>
      </c>
      <c r="P78" s="53" t="str">
        <f ca="1">IFERROR(VLOOKUP(DB_TBL_DATA_FIELDS[[#This Row],[FIELD_STATUS_CODE]],DB_TBL_CONFIG_FIELDSTATUSCODES[#All],4,FALSE),"")</f>
        <v xml:space="preserve"> </v>
      </c>
      <c r="Q78" s="53" t="b">
        <f>TRUE</f>
        <v>1</v>
      </c>
      <c r="R78" s="53" t="b">
        <f>TRUE</f>
        <v>1</v>
      </c>
      <c r="S78" s="52" t="s">
        <v>62</v>
      </c>
      <c r="T78" s="53">
        <f ca="1">IF(DB_TBL_DATA_FIELDS[[#This Row],[RANGE_VALIDATION_FLAG]]="Text",LEN(DB_TBL_DATA_FIELDS[[#This Row],[FIELD_VALUE_RAW]]),IFERROR(VALUE(DB_TBL_DATA_FIELDS[[#This Row],[FIELD_VALUE_RAW]]),-1))</f>
        <v>-1</v>
      </c>
      <c r="U78" s="53">
        <v>0</v>
      </c>
      <c r="V78" s="83">
        <v>1</v>
      </c>
      <c r="W78" s="53" t="b">
        <f ca="1">IF(NOT(DB_TBL_DATA_FIELDS[[#This Row],[RANGE_VALIDATION_ON_FLAG]]),TRUE,
AND(DB_TBL_DATA_FIELDS[[#This Row],[RANGE_VALUE_LEN]]&gt;=DB_TBL_DATA_FIELDS[[#This Row],[RANGE_VALIDATION_MIN]],DB_TBL_DATA_FIELDS[[#This Row],[RANGE_VALUE_LEN]]&lt;=DB_TBL_DATA_FIELDS[[#This Row],[RANGE_VALIDATION_MAX]]))</f>
        <v>0</v>
      </c>
      <c r="X78" s="8">
        <v>1</v>
      </c>
      <c r="Y78" s="53">
        <f ca="1">IF(DB_TBL_DATA_FIELDS[[#This Row],[PCT_CALC_SHOW_STATUS_CODE]]=1,
DB_TBL_DATA_FIELDS[[#This Row],[FIELD_STATUS_CODE]],
IF(AND(DB_TBL_DATA_FIELDS[[#This Row],[PCT_CALC_SHOW_STATUS_CODE]]=2,DB_TBL_DATA_FIELDS[[#This Row],[FIELD_STATUS_CODE]]=0),
DB_TBL_DATA_FIELDS[[#This Row],[FIELD_STATUS_CODE]],
"")
)</f>
        <v>-1</v>
      </c>
      <c r="Z78" s="53"/>
      <c r="AA78" s="11" t="s">
        <v>2574</v>
      </c>
      <c r="AB78" s="11" t="s">
        <v>2562</v>
      </c>
      <c r="AC78" s="53"/>
    </row>
    <row r="79" spans="1:29" x14ac:dyDescent="0.2">
      <c r="A79" s="4"/>
      <c r="B79" s="4" t="s">
        <v>64</v>
      </c>
      <c r="C79" s="16" t="str">
        <f ca="1">IF($H$10&lt;&gt;"R",IF(DB_TBL_DATA_FIELDS[[#This Row],[SHEET_REF_OWNER]]&lt;&gt;"",DB_TBL_DATA_FIELDS[[#This Row],[SHEET_REF_OWNER]],""),IF(DB_TBL_DATA_FIELDS[[#This Row],[SHEET_REF_RENTAL]]&lt;&gt;"",DB_TBL_DATA_FIELDS[[#This Row],[SHEET_REF_RENTAL]],""))</f>
        <v>RentalApp</v>
      </c>
      <c r="D79" s="89" t="s">
        <v>2532</v>
      </c>
      <c r="E79" s="52" t="b">
        <v>0</v>
      </c>
      <c r="F79" s="84" t="b">
        <f ca="1">AND($H$75&lt;&gt;"",$H$75=TRUE)</f>
        <v>0</v>
      </c>
      <c r="G79" s="55" t="s">
        <v>2553</v>
      </c>
      <c r="H79" s="57" t="str">
        <f ca="1">IFERROR(VLOOKUP(DB_TBL_DATA_FIELDS[[#This Row],[FIELD_ID]],INDIRECT(DB_TBL_DATA_FIELDS[[#This Row],[SHEET_REF_CALC]]&amp;"!A:B"),2,FALSE),"")</f>
        <v/>
      </c>
      <c r="I79" s="29" t="str">
        <f ca="1">IF(DB_TBL_DATA_FIELDS[[#This Row],[FIELD_VALUE_RAW]]="","",H75=TRUE)</f>
        <v/>
      </c>
      <c r="J79" s="55" t="b">
        <f ca="1">(DB_TBL_DATA_FIELDS[[#This Row],[FIELD_VALUE_RAW]]="")</f>
        <v>1</v>
      </c>
      <c r="K79" s="55" t="s">
        <v>11</v>
      </c>
      <c r="L79" s="53" t="b">
        <f ca="1">AND(IF(DB_TBL_DATA_FIELDS[[#This Row],[FIELD_VALID_CUSTOM_LOGIC]]="",TRUE,DB_TBL_DATA_FIELDS[[#This Row],[FIELD_VALID_CUSTOM_LOGIC]]),DB_TBL_DATA_FIELDS[[#This Row],[RANGE_VALIDATION_PASSED_FLAG]])</f>
        <v>1</v>
      </c>
      <c r="M79" s="57"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9" s="53">
        <f ca="1">IF(DB_TBL_DATA_FIELDS[[#This Row],[SHEET_REF_CALC]]="","",IF(DB_TBL_DATA_FIELDS[[#This Row],[FIELD_EMPTY_FLAG]],IF(NOT(DB_TBL_DATA_FIELDS[[#This Row],[FIELD_REQ_FLAG]]),-1,1),IF(NOT(DB_TBL_DATA_FIELDS[[#This Row],[FIELD_VALID_FLAG]]),0,2)))</f>
        <v>-1</v>
      </c>
      <c r="O79" s="53" t="str">
        <f ca="1">IFERROR(VLOOKUP(DB_TBL_DATA_FIELDS[[#This Row],[FIELD_STATUS_CODE]],DB_TBL_CONFIG_FIELDSTATUSCODES[#All],3,FALSE),"")</f>
        <v>Optional</v>
      </c>
      <c r="P79" s="53" t="str">
        <f ca="1">IFERROR(VLOOKUP(DB_TBL_DATA_FIELDS[[#This Row],[FIELD_STATUS_CODE]],DB_TBL_CONFIG_FIELDSTATUSCODES[#All],4,FALSE),"")</f>
        <v xml:space="preserve"> </v>
      </c>
      <c r="Q79" s="53" t="b">
        <f>TRUE</f>
        <v>1</v>
      </c>
      <c r="R79" s="53" t="b">
        <f>TRUE</f>
        <v>1</v>
      </c>
      <c r="S79" s="52" t="s">
        <v>11</v>
      </c>
      <c r="T79" s="53">
        <f ca="1">IF(DB_TBL_DATA_FIELDS[[#This Row],[RANGE_VALIDATION_FLAG]]="Text",LEN(DB_TBL_DATA_FIELDS[[#This Row],[FIELD_VALUE_RAW]]),IFERROR(VALUE(DB_TBL_DATA_FIELDS[[#This Row],[FIELD_VALUE_RAW]]),-1))</f>
        <v>0</v>
      </c>
      <c r="U79" s="53">
        <v>0</v>
      </c>
      <c r="V79" s="101">
        <f>CONFIG_CHAR_LIMIT_SMALL</f>
        <v>1000</v>
      </c>
      <c r="W79" s="53" t="b">
        <f ca="1">IF(NOT(DB_TBL_DATA_FIELDS[[#This Row],[RANGE_VALIDATION_ON_FLAG]]),TRUE,
AND(DB_TBL_DATA_FIELDS[[#This Row],[RANGE_VALUE_LEN]]&gt;=DB_TBL_DATA_FIELDS[[#This Row],[RANGE_VALIDATION_MIN]],DB_TBL_DATA_FIELDS[[#This Row],[RANGE_VALUE_LEN]]&lt;=DB_TBL_DATA_FIELDS[[#This Row],[RANGE_VALIDATION_MAX]]))</f>
        <v>1</v>
      </c>
      <c r="X79" s="8">
        <v>1</v>
      </c>
      <c r="Y79" s="53">
        <f ca="1">IF(DB_TBL_DATA_FIELDS[[#This Row],[PCT_CALC_SHOW_STATUS_CODE]]=1,
DB_TBL_DATA_FIELDS[[#This Row],[FIELD_STATUS_CODE]],
IF(AND(DB_TBL_DATA_FIELDS[[#This Row],[PCT_CALC_SHOW_STATUS_CODE]]=2,DB_TBL_DATA_FIELDS[[#This Row],[FIELD_STATUS_CODE]]=0),
DB_TBL_DATA_FIELDS[[#This Row],[FIELD_STATUS_CODE]],
"")
)</f>
        <v>-1</v>
      </c>
      <c r="Z79" s="53"/>
      <c r="AA79" s="11" t="s">
        <v>2575</v>
      </c>
      <c r="AB79" s="11" t="s">
        <v>2562</v>
      </c>
      <c r="AC79" s="53"/>
    </row>
    <row r="80" spans="1:29" x14ac:dyDescent="0.2">
      <c r="A80" s="4" t="s">
        <v>65</v>
      </c>
      <c r="B80" s="4" t="s">
        <v>64</v>
      </c>
      <c r="C80" s="16" t="str">
        <f ca="1">IF($H$10&lt;&gt;"R",IF(DB_TBL_DATA_FIELDS[[#This Row],[SHEET_REF_OWNER]]&lt;&gt;"",DB_TBL_DATA_FIELDS[[#This Row],[SHEET_REF_OWNER]],""),IF(DB_TBL_DATA_FIELDS[[#This Row],[SHEET_REF_RENTAL]]&lt;&gt;"",DB_TBL_DATA_FIELDS[[#This Row],[SHEET_REF_RENTAL]],""))</f>
        <v>RentalApp</v>
      </c>
      <c r="D80" s="52" t="s">
        <v>2533</v>
      </c>
      <c r="E80" s="52" t="b">
        <v>0</v>
      </c>
      <c r="F80" s="54" t="b">
        <v>1</v>
      </c>
      <c r="G80" s="55" t="s">
        <v>2554</v>
      </c>
      <c r="H80" s="57" t="str">
        <f ca="1">IFERROR(VLOOKUP(DB_TBL_DATA_FIELDS[[#This Row],[FIELD_ID]],INDIRECT(DB_TBL_DATA_FIELDS[[#This Row],[SHEET_REF_CALC]]&amp;"!A:B"),2,FALSE),"")</f>
        <v/>
      </c>
      <c r="I80" s="57"/>
      <c r="J80" s="55" t="b">
        <f ca="1">(DB_TBL_DATA_FIELDS[[#This Row],[FIELD_VALUE_RAW]]="")</f>
        <v>1</v>
      </c>
      <c r="K80" s="55" t="s">
        <v>209</v>
      </c>
      <c r="L80" s="53" t="b">
        <f>AND(IF(DB_TBL_DATA_FIELDS[[#This Row],[FIELD_VALID_CUSTOM_LOGIC]]="",TRUE,DB_TBL_DATA_FIELDS[[#This Row],[FIELD_VALID_CUSTOM_LOGIC]]),DB_TBL_DATA_FIELDS[[#This Row],[RANGE_VALIDATION_PASSED_FLAG]])</f>
        <v>1</v>
      </c>
      <c r="M80" s="57"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80" s="53">
        <f ca="1">IF(DB_TBL_DATA_FIELDS[[#This Row],[SHEET_REF_CALC]]="","",IF(DB_TBL_DATA_FIELDS[[#This Row],[FIELD_EMPTY_FLAG]],IF(NOT(DB_TBL_DATA_FIELDS[[#This Row],[FIELD_REQ_FLAG]]),-1,1),IF(NOT(DB_TBL_DATA_FIELDS[[#This Row],[FIELD_VALID_FLAG]]),0,2)))</f>
        <v>1</v>
      </c>
      <c r="O80" s="53" t="str">
        <f ca="1">IFERROR(VLOOKUP(DB_TBL_DATA_FIELDS[[#This Row],[FIELD_STATUS_CODE]],DB_TBL_CONFIG_FIELDSTATUSCODES[#All],3,FALSE),"")</f>
        <v>Required</v>
      </c>
      <c r="P80" s="53" t="str">
        <f ca="1">IFERROR(VLOOKUP(DB_TBL_DATA_FIELDS[[#This Row],[FIELD_STATUS_CODE]],DB_TBL_CONFIG_FIELDSTATUSCODES[#All],4,FALSE),"")</f>
        <v>i</v>
      </c>
      <c r="Q80" s="53" t="b">
        <f>TRUE</f>
        <v>1</v>
      </c>
      <c r="R80" s="53" t="b">
        <v>0</v>
      </c>
      <c r="S80" s="52"/>
      <c r="T80" s="53">
        <f ca="1">IF(DB_TBL_DATA_FIELDS[[#This Row],[RANGE_VALIDATION_FLAG]]="Text",LEN(DB_TBL_DATA_FIELDS[[#This Row],[FIELD_VALUE_RAW]]),IFERROR(VALUE(DB_TBL_DATA_FIELDS[[#This Row],[FIELD_VALUE_RAW]]),-1))</f>
        <v>-1</v>
      </c>
      <c r="U80" s="53">
        <v>0</v>
      </c>
      <c r="V80" s="83">
        <v>1</v>
      </c>
      <c r="W80" s="53" t="b">
        <f>IF(NOT(DB_TBL_DATA_FIELDS[[#This Row],[RANGE_VALIDATION_ON_FLAG]]),TRUE,
AND(DB_TBL_DATA_FIELDS[[#This Row],[RANGE_VALUE_LEN]]&gt;=DB_TBL_DATA_FIELDS[[#This Row],[RANGE_VALIDATION_MIN]],DB_TBL_DATA_FIELDS[[#This Row],[RANGE_VALUE_LEN]]&lt;=DB_TBL_DATA_FIELDS[[#This Row],[RANGE_VALIDATION_MAX]]))</f>
        <v>1</v>
      </c>
      <c r="X80" s="8">
        <v>1</v>
      </c>
      <c r="Y80" s="53">
        <f ca="1">IF(DB_TBL_DATA_FIELDS[[#This Row],[PCT_CALC_SHOW_STATUS_CODE]]=1,
DB_TBL_DATA_FIELDS[[#This Row],[FIELD_STATUS_CODE]],
IF(AND(DB_TBL_DATA_FIELDS[[#This Row],[PCT_CALC_SHOW_STATUS_CODE]]=2,DB_TBL_DATA_FIELDS[[#This Row],[FIELD_STATUS_CODE]]=0),
DB_TBL_DATA_FIELDS[[#This Row],[FIELD_STATUS_CODE]],
"")
)</f>
        <v>1</v>
      </c>
      <c r="Z80" s="53"/>
      <c r="AA80" s="11" t="s">
        <v>2576</v>
      </c>
      <c r="AB80" s="11" t="s">
        <v>2562</v>
      </c>
      <c r="AC80" s="53"/>
    </row>
    <row r="81" spans="1:29" x14ac:dyDescent="0.2">
      <c r="A81" s="4" t="s">
        <v>65</v>
      </c>
      <c r="B81" s="4" t="s">
        <v>64</v>
      </c>
      <c r="C81" s="16" t="str">
        <f ca="1">IF($H$10&lt;&gt;"R",IF(DB_TBL_DATA_FIELDS[[#This Row],[SHEET_REF_OWNER]]&lt;&gt;"",DB_TBL_DATA_FIELDS[[#This Row],[SHEET_REF_OWNER]],""),IF(DB_TBL_DATA_FIELDS[[#This Row],[SHEET_REF_RENTAL]]&lt;&gt;"",DB_TBL_DATA_FIELDS[[#This Row],[SHEET_REF_RENTAL]],""))</f>
        <v>RentalApp</v>
      </c>
      <c r="D81" s="52" t="s">
        <v>2534</v>
      </c>
      <c r="E81" s="52" t="b">
        <v>0</v>
      </c>
      <c r="F81" s="84" t="b">
        <f ca="1">AND($H$80&lt;&gt;"",$H$80=TRUE)</f>
        <v>0</v>
      </c>
      <c r="G81" s="55" t="s">
        <v>2555</v>
      </c>
      <c r="H81" s="57" t="str">
        <f ca="1">IFERROR(VLOOKUP(DB_TBL_DATA_FIELDS[[#This Row],[FIELD_ID]],INDIRECT(DB_TBL_DATA_FIELDS[[#This Row],[SHEET_REF_CALC]]&amp;"!A:B"),2,FALSE),"")</f>
        <v/>
      </c>
      <c r="I81" s="29" t="str">
        <f ca="1">IF(DB_TBL_DATA_FIELDS[[#This Row],[FIELD_VALUE_RAW]]="","",H80=TRUE)</f>
        <v/>
      </c>
      <c r="J81" s="55" t="b">
        <f ca="1">(DB_TBL_DATA_FIELDS[[#This Row],[FIELD_VALUE_RAW]]="")</f>
        <v>1</v>
      </c>
      <c r="K81" s="55" t="s">
        <v>62</v>
      </c>
      <c r="L81" s="53" t="b">
        <f ca="1">AND(IF(DB_TBL_DATA_FIELDS[[#This Row],[FIELD_VALID_CUSTOM_LOGIC]]="",TRUE,DB_TBL_DATA_FIELDS[[#This Row],[FIELD_VALID_CUSTOM_LOGIC]]),DB_TBL_DATA_FIELDS[[#This Row],[RANGE_VALIDATION_PASSED_FLAG]])</f>
        <v>0</v>
      </c>
      <c r="M81" s="57"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81" s="53">
        <f ca="1">IF(DB_TBL_DATA_FIELDS[[#This Row],[SHEET_REF_CALC]]="","",IF(DB_TBL_DATA_FIELDS[[#This Row],[FIELD_EMPTY_FLAG]],IF(NOT(DB_TBL_DATA_FIELDS[[#This Row],[FIELD_REQ_FLAG]]),-1,1),IF(NOT(DB_TBL_DATA_FIELDS[[#This Row],[FIELD_VALID_FLAG]]),0,2)))</f>
        <v>-1</v>
      </c>
      <c r="O81" s="53" t="str">
        <f ca="1">IFERROR(VLOOKUP(DB_TBL_DATA_FIELDS[[#This Row],[FIELD_STATUS_CODE]],DB_TBL_CONFIG_FIELDSTATUSCODES[#All],3,FALSE),"")</f>
        <v>Optional</v>
      </c>
      <c r="P81" s="53" t="str">
        <f ca="1">IFERROR(VLOOKUP(DB_TBL_DATA_FIELDS[[#This Row],[FIELD_STATUS_CODE]],DB_TBL_CONFIG_FIELDSTATUSCODES[#All],4,FALSE),"")</f>
        <v xml:space="preserve"> </v>
      </c>
      <c r="Q81" s="53" t="b">
        <f>TRUE</f>
        <v>1</v>
      </c>
      <c r="R81" s="53" t="b">
        <f>TRUE</f>
        <v>1</v>
      </c>
      <c r="S81" s="52" t="s">
        <v>62</v>
      </c>
      <c r="T81" s="53">
        <f ca="1">IF(DB_TBL_DATA_FIELDS[[#This Row],[RANGE_VALIDATION_FLAG]]="Text",LEN(DB_TBL_DATA_FIELDS[[#This Row],[FIELD_VALUE_RAW]]),IFERROR(VALUE(DB_TBL_DATA_FIELDS[[#This Row],[FIELD_VALUE_RAW]]),-1))</f>
        <v>-1</v>
      </c>
      <c r="U81" s="53">
        <v>1</v>
      </c>
      <c r="V81" s="8">
        <v>999999999999</v>
      </c>
      <c r="W81" s="53" t="b">
        <f ca="1">IF(NOT(DB_TBL_DATA_FIELDS[[#This Row],[RANGE_VALIDATION_ON_FLAG]]),TRUE,
AND(DB_TBL_DATA_FIELDS[[#This Row],[RANGE_VALUE_LEN]]&gt;=DB_TBL_DATA_FIELDS[[#This Row],[RANGE_VALIDATION_MIN]],DB_TBL_DATA_FIELDS[[#This Row],[RANGE_VALUE_LEN]]&lt;=DB_TBL_DATA_FIELDS[[#This Row],[RANGE_VALIDATION_MAX]]))</f>
        <v>0</v>
      </c>
      <c r="X81" s="8">
        <v>1</v>
      </c>
      <c r="Y81" s="53">
        <f ca="1">IF(DB_TBL_DATA_FIELDS[[#This Row],[PCT_CALC_SHOW_STATUS_CODE]]=1,
DB_TBL_DATA_FIELDS[[#This Row],[FIELD_STATUS_CODE]],
IF(AND(DB_TBL_DATA_FIELDS[[#This Row],[PCT_CALC_SHOW_STATUS_CODE]]=2,DB_TBL_DATA_FIELDS[[#This Row],[FIELD_STATUS_CODE]]=0),
DB_TBL_DATA_FIELDS[[#This Row],[FIELD_STATUS_CODE]],
"")
)</f>
        <v>-1</v>
      </c>
      <c r="Z81" s="53"/>
      <c r="AA81" s="11" t="s">
        <v>2577</v>
      </c>
      <c r="AB81" s="11" t="s">
        <v>2562</v>
      </c>
      <c r="AC81" s="53"/>
    </row>
    <row r="82" spans="1:29" x14ac:dyDescent="0.2">
      <c r="A82" s="4" t="s">
        <v>65</v>
      </c>
      <c r="B82" s="4" t="s">
        <v>64</v>
      </c>
      <c r="C82" s="16" t="str">
        <f ca="1">IF($H$10&lt;&gt;"R",IF(DB_TBL_DATA_FIELDS[[#This Row],[SHEET_REF_OWNER]]&lt;&gt;"",DB_TBL_DATA_FIELDS[[#This Row],[SHEET_REF_OWNER]],""),IF(DB_TBL_DATA_FIELDS[[#This Row],[SHEET_REF_RENTAL]]&lt;&gt;"",DB_TBL_DATA_FIELDS[[#This Row],[SHEET_REF_RENTAL]],""))</f>
        <v>RentalApp</v>
      </c>
      <c r="D82" s="4" t="s">
        <v>3654</v>
      </c>
      <c r="E82" s="4" t="b">
        <v>1</v>
      </c>
      <c r="F82" s="45" t="b">
        <v>1</v>
      </c>
      <c r="G82" s="6" t="s">
        <v>3659</v>
      </c>
      <c r="H82" s="11" t="str">
        <f ca="1">IFERROR(VLOOKUP(DB_TBL_DATA_FIELDS[[#This Row],[FIELD_ID]],INDIRECT(DB_TBL_DATA_FIELDS[[#This Row],[SHEET_REF_CALC]]&amp;"!A:B"),2,FALSE),"")</f>
        <v/>
      </c>
      <c r="I82" s="33"/>
      <c r="J82" s="6" t="b">
        <f ca="1">(DB_TBL_DATA_FIELDS[[#This Row],[FIELD_VALUE_RAW]]="")</f>
        <v>1</v>
      </c>
      <c r="K82" s="55" t="s">
        <v>209</v>
      </c>
      <c r="L82" s="8" t="b">
        <f>AND(IF(DB_TBL_DATA_FIELDS[[#This Row],[FIELD_VALID_CUSTOM_LOGIC]]="",TRUE,DB_TBL_DATA_FIELDS[[#This Row],[FIELD_VALID_CUSTOM_LOGIC]]),DB_TBL_DATA_FIELDS[[#This Row],[RANGE_VALIDATION_PASSED_FLAG]])</f>
        <v>1</v>
      </c>
      <c r="M82"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82" s="8">
        <f ca="1">IF(DB_TBL_DATA_FIELDS[[#This Row],[SHEET_REF_CALC]]="","",IF(DB_TBL_DATA_FIELDS[[#This Row],[FIELD_EMPTY_FLAG]],IF(NOT(DB_TBL_DATA_FIELDS[[#This Row],[FIELD_REQ_FLAG]]),-1,1),IF(NOT(DB_TBL_DATA_FIELDS[[#This Row],[FIELD_VALID_FLAG]]),0,2)))</f>
        <v>1</v>
      </c>
      <c r="O82" s="8" t="str">
        <f ca="1">IFERROR(VLOOKUP(DB_TBL_DATA_FIELDS[[#This Row],[FIELD_STATUS_CODE]],DB_TBL_CONFIG_FIELDSTATUSCODES[#All],3,FALSE),"")</f>
        <v>Required</v>
      </c>
      <c r="P82" s="8" t="str">
        <f ca="1">IFERROR(VLOOKUP(DB_TBL_DATA_FIELDS[[#This Row],[FIELD_STATUS_CODE]],DB_TBL_CONFIG_FIELDSTATUSCODES[#All],4,FALSE),"")</f>
        <v>i</v>
      </c>
      <c r="Q82" s="8" t="b">
        <f>TRUE</f>
        <v>1</v>
      </c>
      <c r="R82" s="8" t="b">
        <v>0</v>
      </c>
      <c r="S82" s="4"/>
      <c r="T82" s="8">
        <f ca="1">IF(DB_TBL_DATA_FIELDS[[#This Row],[RANGE_VALIDATION_FLAG]]="Text",LEN(DB_TBL_DATA_FIELDS[[#This Row],[FIELD_VALUE_RAW]]),IFERROR(VALUE(DB_TBL_DATA_FIELDS[[#This Row],[FIELD_VALUE_RAW]]),-1))</f>
        <v>-1</v>
      </c>
      <c r="U82" s="8">
        <v>0</v>
      </c>
      <c r="V82" s="8">
        <v>1</v>
      </c>
      <c r="W82" s="8" t="b">
        <f>IF(NOT(DB_TBL_DATA_FIELDS[[#This Row],[RANGE_VALIDATION_ON_FLAG]]),TRUE,
AND(DB_TBL_DATA_FIELDS[[#This Row],[RANGE_VALUE_LEN]]&gt;=DB_TBL_DATA_FIELDS[[#This Row],[RANGE_VALIDATION_MIN]],DB_TBL_DATA_FIELDS[[#This Row],[RANGE_VALUE_LEN]]&lt;=DB_TBL_DATA_FIELDS[[#This Row],[RANGE_VALIDATION_MAX]]))</f>
        <v>1</v>
      </c>
      <c r="X82" s="8">
        <v>1</v>
      </c>
      <c r="Y82" s="8">
        <f ca="1">IF(DB_TBL_DATA_FIELDS[[#This Row],[PCT_CALC_SHOW_STATUS_CODE]]=1,
DB_TBL_DATA_FIELDS[[#This Row],[FIELD_STATUS_CODE]],
IF(AND(DB_TBL_DATA_FIELDS[[#This Row],[PCT_CALC_SHOW_STATUS_CODE]]=2,DB_TBL_DATA_FIELDS[[#This Row],[FIELD_STATUS_CODE]]=0),
DB_TBL_DATA_FIELDS[[#This Row],[FIELD_STATUS_CODE]],
"")
)</f>
        <v>1</v>
      </c>
      <c r="Z82" s="8"/>
      <c r="AA82" s="11"/>
      <c r="AB82" s="11"/>
      <c r="AC82" s="8" t="s">
        <v>3664</v>
      </c>
    </row>
    <row r="83" spans="1:29" x14ac:dyDescent="0.2">
      <c r="A83" s="4" t="s">
        <v>65</v>
      </c>
      <c r="B83" s="4" t="s">
        <v>64</v>
      </c>
      <c r="C83" s="16" t="str">
        <f ca="1">IF($H$10&lt;&gt;"R",IF(DB_TBL_DATA_FIELDS[[#This Row],[SHEET_REF_OWNER]]&lt;&gt;"",DB_TBL_DATA_FIELDS[[#This Row],[SHEET_REF_OWNER]],""),IF(DB_TBL_DATA_FIELDS[[#This Row],[SHEET_REF_RENTAL]]&lt;&gt;"",DB_TBL_DATA_FIELDS[[#This Row],[SHEET_REF_RENTAL]],""))</f>
        <v>RentalApp</v>
      </c>
      <c r="D83" s="4" t="s">
        <v>3655</v>
      </c>
      <c r="E83" s="4" t="b">
        <v>1</v>
      </c>
      <c r="F83" s="45" t="b">
        <v>1</v>
      </c>
      <c r="G83" s="6" t="s">
        <v>3660</v>
      </c>
      <c r="H83" s="11" t="str">
        <f ca="1">IFERROR(VLOOKUP(DB_TBL_DATA_FIELDS[[#This Row],[FIELD_ID]],INDIRECT(DB_TBL_DATA_FIELDS[[#This Row],[SHEET_REF_CALC]]&amp;"!A:B"),2,FALSE),"")</f>
        <v/>
      </c>
      <c r="I83" s="33"/>
      <c r="J83" s="6" t="b">
        <f ca="1">(DB_TBL_DATA_FIELDS[[#This Row],[FIELD_VALUE_RAW]]="")</f>
        <v>1</v>
      </c>
      <c r="K83" s="55" t="s">
        <v>209</v>
      </c>
      <c r="L83" s="8" t="b">
        <f>AND(IF(DB_TBL_DATA_FIELDS[[#This Row],[FIELD_VALID_CUSTOM_LOGIC]]="",TRUE,DB_TBL_DATA_FIELDS[[#This Row],[FIELD_VALID_CUSTOM_LOGIC]]),DB_TBL_DATA_FIELDS[[#This Row],[RANGE_VALIDATION_PASSED_FLAG]])</f>
        <v>1</v>
      </c>
      <c r="M83"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83" s="8">
        <f ca="1">IF(DB_TBL_DATA_FIELDS[[#This Row],[SHEET_REF_CALC]]="","",IF(DB_TBL_DATA_FIELDS[[#This Row],[FIELD_EMPTY_FLAG]],IF(NOT(DB_TBL_DATA_FIELDS[[#This Row],[FIELD_REQ_FLAG]]),-1,1),IF(NOT(DB_TBL_DATA_FIELDS[[#This Row],[FIELD_VALID_FLAG]]),0,2)))</f>
        <v>1</v>
      </c>
      <c r="O83" s="8" t="str">
        <f ca="1">IFERROR(VLOOKUP(DB_TBL_DATA_FIELDS[[#This Row],[FIELD_STATUS_CODE]],DB_TBL_CONFIG_FIELDSTATUSCODES[#All],3,FALSE),"")</f>
        <v>Required</v>
      </c>
      <c r="P83" s="8" t="str">
        <f ca="1">IFERROR(VLOOKUP(DB_TBL_DATA_FIELDS[[#This Row],[FIELD_STATUS_CODE]],DB_TBL_CONFIG_FIELDSTATUSCODES[#All],4,FALSE),"")</f>
        <v>i</v>
      </c>
      <c r="Q83" s="8" t="b">
        <f>TRUE</f>
        <v>1</v>
      </c>
      <c r="R83" s="8" t="b">
        <v>0</v>
      </c>
      <c r="S83" s="4"/>
      <c r="T83" s="8">
        <f ca="1">IF(DB_TBL_DATA_FIELDS[[#This Row],[RANGE_VALIDATION_FLAG]]="Text",LEN(DB_TBL_DATA_FIELDS[[#This Row],[FIELD_VALUE_RAW]]),IFERROR(VALUE(DB_TBL_DATA_FIELDS[[#This Row],[FIELD_VALUE_RAW]]),-1))</f>
        <v>-1</v>
      </c>
      <c r="U83" s="8">
        <v>0</v>
      </c>
      <c r="V83" s="8">
        <v>1</v>
      </c>
      <c r="W83" s="8" t="b">
        <f>IF(NOT(DB_TBL_DATA_FIELDS[[#This Row],[RANGE_VALIDATION_ON_FLAG]]),TRUE,
AND(DB_TBL_DATA_FIELDS[[#This Row],[RANGE_VALUE_LEN]]&gt;=DB_TBL_DATA_FIELDS[[#This Row],[RANGE_VALIDATION_MIN]],DB_TBL_DATA_FIELDS[[#This Row],[RANGE_VALUE_LEN]]&lt;=DB_TBL_DATA_FIELDS[[#This Row],[RANGE_VALIDATION_MAX]]))</f>
        <v>1</v>
      </c>
      <c r="X83" s="8">
        <v>1</v>
      </c>
      <c r="Y83" s="8">
        <f ca="1">IF(DB_TBL_DATA_FIELDS[[#This Row],[PCT_CALC_SHOW_STATUS_CODE]]=1,
DB_TBL_DATA_FIELDS[[#This Row],[FIELD_STATUS_CODE]],
IF(AND(DB_TBL_DATA_FIELDS[[#This Row],[PCT_CALC_SHOW_STATUS_CODE]]=2,DB_TBL_DATA_FIELDS[[#This Row],[FIELD_STATUS_CODE]]=0),
DB_TBL_DATA_FIELDS[[#This Row],[FIELD_STATUS_CODE]],
"")
)</f>
        <v>1</v>
      </c>
      <c r="Z83" s="8"/>
      <c r="AA83" s="11"/>
      <c r="AB83" s="11"/>
      <c r="AC83" s="8" t="s">
        <v>3664</v>
      </c>
    </row>
    <row r="84" spans="1:29" x14ac:dyDescent="0.2">
      <c r="A84" s="4" t="s">
        <v>65</v>
      </c>
      <c r="B84" s="4" t="s">
        <v>64</v>
      </c>
      <c r="C84" s="16" t="str">
        <f ca="1">IF($H$10&lt;&gt;"R",IF(DB_TBL_DATA_FIELDS[[#This Row],[SHEET_REF_OWNER]]&lt;&gt;"",DB_TBL_DATA_FIELDS[[#This Row],[SHEET_REF_OWNER]],""),IF(DB_TBL_DATA_FIELDS[[#This Row],[SHEET_REF_RENTAL]]&lt;&gt;"",DB_TBL_DATA_FIELDS[[#This Row],[SHEET_REF_RENTAL]],""))</f>
        <v>RentalApp</v>
      </c>
      <c r="D84" s="4" t="s">
        <v>3656</v>
      </c>
      <c r="E84" s="4" t="b">
        <v>1</v>
      </c>
      <c r="F84" s="45" t="b">
        <v>1</v>
      </c>
      <c r="G84" s="6" t="s">
        <v>3661</v>
      </c>
      <c r="H84" s="11" t="str">
        <f ca="1">IFERROR(VLOOKUP(DB_TBL_DATA_FIELDS[[#This Row],[FIELD_ID]],INDIRECT(DB_TBL_DATA_FIELDS[[#This Row],[SHEET_REF_CALC]]&amp;"!A:B"),2,FALSE),"")</f>
        <v/>
      </c>
      <c r="I84" s="33"/>
      <c r="J84" s="6" t="b">
        <f ca="1">(DB_TBL_DATA_FIELDS[[#This Row],[FIELD_VALUE_RAW]]="")</f>
        <v>1</v>
      </c>
      <c r="K84" s="55" t="s">
        <v>209</v>
      </c>
      <c r="L84" s="8" t="b">
        <f>AND(IF(DB_TBL_DATA_FIELDS[[#This Row],[FIELD_VALID_CUSTOM_LOGIC]]="",TRUE,DB_TBL_DATA_FIELDS[[#This Row],[FIELD_VALID_CUSTOM_LOGIC]]),DB_TBL_DATA_FIELDS[[#This Row],[RANGE_VALIDATION_PASSED_FLAG]])</f>
        <v>1</v>
      </c>
      <c r="M84"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84" s="8">
        <f ca="1">IF(DB_TBL_DATA_FIELDS[[#This Row],[SHEET_REF_CALC]]="","",IF(DB_TBL_DATA_FIELDS[[#This Row],[FIELD_EMPTY_FLAG]],IF(NOT(DB_TBL_DATA_FIELDS[[#This Row],[FIELD_REQ_FLAG]]),-1,1),IF(NOT(DB_TBL_DATA_FIELDS[[#This Row],[FIELD_VALID_FLAG]]),0,2)))</f>
        <v>1</v>
      </c>
      <c r="O84" s="8" t="str">
        <f ca="1">IFERROR(VLOOKUP(DB_TBL_DATA_FIELDS[[#This Row],[FIELD_STATUS_CODE]],DB_TBL_CONFIG_FIELDSTATUSCODES[#All],3,FALSE),"")</f>
        <v>Required</v>
      </c>
      <c r="P84" s="8" t="str">
        <f ca="1">IFERROR(VLOOKUP(DB_TBL_DATA_FIELDS[[#This Row],[FIELD_STATUS_CODE]],DB_TBL_CONFIG_FIELDSTATUSCODES[#All],4,FALSE),"")</f>
        <v>i</v>
      </c>
      <c r="Q84" s="8" t="b">
        <f>TRUE</f>
        <v>1</v>
      </c>
      <c r="R84" s="8" t="b">
        <v>0</v>
      </c>
      <c r="S84" s="4"/>
      <c r="T84" s="8">
        <f ca="1">IF(DB_TBL_DATA_FIELDS[[#This Row],[RANGE_VALIDATION_FLAG]]="Text",LEN(DB_TBL_DATA_FIELDS[[#This Row],[FIELD_VALUE_RAW]]),IFERROR(VALUE(DB_TBL_DATA_FIELDS[[#This Row],[FIELD_VALUE_RAW]]),-1))</f>
        <v>-1</v>
      </c>
      <c r="U84" s="8">
        <v>0</v>
      </c>
      <c r="V84" s="8">
        <v>1</v>
      </c>
      <c r="W84" s="8" t="b">
        <f>IF(NOT(DB_TBL_DATA_FIELDS[[#This Row],[RANGE_VALIDATION_ON_FLAG]]),TRUE,
AND(DB_TBL_DATA_FIELDS[[#This Row],[RANGE_VALUE_LEN]]&gt;=DB_TBL_DATA_FIELDS[[#This Row],[RANGE_VALIDATION_MIN]],DB_TBL_DATA_FIELDS[[#This Row],[RANGE_VALUE_LEN]]&lt;=DB_TBL_DATA_FIELDS[[#This Row],[RANGE_VALIDATION_MAX]]))</f>
        <v>1</v>
      </c>
      <c r="X84" s="8">
        <v>1</v>
      </c>
      <c r="Y84" s="8">
        <f ca="1">IF(DB_TBL_DATA_FIELDS[[#This Row],[PCT_CALC_SHOW_STATUS_CODE]]=1,
DB_TBL_DATA_FIELDS[[#This Row],[FIELD_STATUS_CODE]],
IF(AND(DB_TBL_DATA_FIELDS[[#This Row],[PCT_CALC_SHOW_STATUS_CODE]]=2,DB_TBL_DATA_FIELDS[[#This Row],[FIELD_STATUS_CODE]]=0),
DB_TBL_DATA_FIELDS[[#This Row],[FIELD_STATUS_CODE]],
"")
)</f>
        <v>1</v>
      </c>
      <c r="Z84" s="8"/>
      <c r="AA84" s="11"/>
      <c r="AB84" s="11"/>
      <c r="AC84" s="8" t="s">
        <v>3664</v>
      </c>
    </row>
    <row r="85" spans="1:29" x14ac:dyDescent="0.2">
      <c r="A85" s="4" t="s">
        <v>65</v>
      </c>
      <c r="B85" s="4" t="s">
        <v>64</v>
      </c>
      <c r="C85" s="16" t="str">
        <f ca="1">IF($H$10&lt;&gt;"R",IF(DB_TBL_DATA_FIELDS[[#This Row],[SHEET_REF_OWNER]]&lt;&gt;"",DB_TBL_DATA_FIELDS[[#This Row],[SHEET_REF_OWNER]],""),IF(DB_TBL_DATA_FIELDS[[#This Row],[SHEET_REF_RENTAL]]&lt;&gt;"",DB_TBL_DATA_FIELDS[[#This Row],[SHEET_REF_RENTAL]],""))</f>
        <v>RentalApp</v>
      </c>
      <c r="D85" s="4" t="s">
        <v>3657</v>
      </c>
      <c r="E85" s="4" t="b">
        <v>1</v>
      </c>
      <c r="F85" s="45" t="b">
        <v>1</v>
      </c>
      <c r="G85" s="6" t="s">
        <v>3662</v>
      </c>
      <c r="H85" s="11" t="str">
        <f ca="1">IFERROR(VLOOKUP(DB_TBL_DATA_FIELDS[[#This Row],[FIELD_ID]],INDIRECT(DB_TBL_DATA_FIELDS[[#This Row],[SHEET_REF_CALC]]&amp;"!A:B"),2,FALSE),"")</f>
        <v/>
      </c>
      <c r="I85" s="33"/>
      <c r="J85" s="6" t="b">
        <f ca="1">(DB_TBL_DATA_FIELDS[[#This Row],[FIELD_VALUE_RAW]]="")</f>
        <v>1</v>
      </c>
      <c r="K85" s="55" t="s">
        <v>209</v>
      </c>
      <c r="L85" s="8" t="b">
        <f>AND(IF(DB_TBL_DATA_FIELDS[[#This Row],[FIELD_VALID_CUSTOM_LOGIC]]="",TRUE,DB_TBL_DATA_FIELDS[[#This Row],[FIELD_VALID_CUSTOM_LOGIC]]),DB_TBL_DATA_FIELDS[[#This Row],[RANGE_VALIDATION_PASSED_FLAG]])</f>
        <v>1</v>
      </c>
      <c r="M85"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85" s="8">
        <f ca="1">IF(DB_TBL_DATA_FIELDS[[#This Row],[SHEET_REF_CALC]]="","",IF(DB_TBL_DATA_FIELDS[[#This Row],[FIELD_EMPTY_FLAG]],IF(NOT(DB_TBL_DATA_FIELDS[[#This Row],[FIELD_REQ_FLAG]]),-1,1),IF(NOT(DB_TBL_DATA_FIELDS[[#This Row],[FIELD_VALID_FLAG]]),0,2)))</f>
        <v>1</v>
      </c>
      <c r="O85" s="8" t="str">
        <f ca="1">IFERROR(VLOOKUP(DB_TBL_DATA_FIELDS[[#This Row],[FIELD_STATUS_CODE]],DB_TBL_CONFIG_FIELDSTATUSCODES[#All],3,FALSE),"")</f>
        <v>Required</v>
      </c>
      <c r="P85" s="8" t="str">
        <f ca="1">IFERROR(VLOOKUP(DB_TBL_DATA_FIELDS[[#This Row],[FIELD_STATUS_CODE]],DB_TBL_CONFIG_FIELDSTATUSCODES[#All],4,FALSE),"")</f>
        <v>i</v>
      </c>
      <c r="Q85" s="8" t="b">
        <f>TRUE</f>
        <v>1</v>
      </c>
      <c r="R85" s="8" t="b">
        <v>0</v>
      </c>
      <c r="S85" s="4"/>
      <c r="T85" s="8">
        <f ca="1">IF(DB_TBL_DATA_FIELDS[[#This Row],[RANGE_VALIDATION_FLAG]]="Text",LEN(DB_TBL_DATA_FIELDS[[#This Row],[FIELD_VALUE_RAW]]),IFERROR(VALUE(DB_TBL_DATA_FIELDS[[#This Row],[FIELD_VALUE_RAW]]),-1))</f>
        <v>-1</v>
      </c>
      <c r="U85" s="8">
        <v>0</v>
      </c>
      <c r="V85" s="8">
        <v>1</v>
      </c>
      <c r="W85" s="8" t="b">
        <f>IF(NOT(DB_TBL_DATA_FIELDS[[#This Row],[RANGE_VALIDATION_ON_FLAG]]),TRUE,
AND(DB_TBL_DATA_FIELDS[[#This Row],[RANGE_VALUE_LEN]]&gt;=DB_TBL_DATA_FIELDS[[#This Row],[RANGE_VALIDATION_MIN]],DB_TBL_DATA_FIELDS[[#This Row],[RANGE_VALUE_LEN]]&lt;=DB_TBL_DATA_FIELDS[[#This Row],[RANGE_VALIDATION_MAX]]))</f>
        <v>1</v>
      </c>
      <c r="X85" s="8">
        <v>1</v>
      </c>
      <c r="Y85" s="8">
        <f ca="1">IF(DB_TBL_DATA_FIELDS[[#This Row],[PCT_CALC_SHOW_STATUS_CODE]]=1,
DB_TBL_DATA_FIELDS[[#This Row],[FIELD_STATUS_CODE]],
IF(AND(DB_TBL_DATA_FIELDS[[#This Row],[PCT_CALC_SHOW_STATUS_CODE]]=2,DB_TBL_DATA_FIELDS[[#This Row],[FIELD_STATUS_CODE]]=0),
DB_TBL_DATA_FIELDS[[#This Row],[FIELD_STATUS_CODE]],
"")
)</f>
        <v>1</v>
      </c>
      <c r="Z85" s="8"/>
      <c r="AA85" s="11"/>
      <c r="AB85" s="11"/>
      <c r="AC85" s="8" t="s">
        <v>3664</v>
      </c>
    </row>
    <row r="86" spans="1:29" x14ac:dyDescent="0.2">
      <c r="A86" s="4" t="s">
        <v>65</v>
      </c>
      <c r="B86" s="4" t="s">
        <v>64</v>
      </c>
      <c r="C86" s="16" t="str">
        <f ca="1">IF($H$10&lt;&gt;"R",IF(DB_TBL_DATA_FIELDS[[#This Row],[SHEET_REF_OWNER]]&lt;&gt;"",DB_TBL_DATA_FIELDS[[#This Row],[SHEET_REF_OWNER]],""),IF(DB_TBL_DATA_FIELDS[[#This Row],[SHEET_REF_RENTAL]]&lt;&gt;"",DB_TBL_DATA_FIELDS[[#This Row],[SHEET_REF_RENTAL]],""))</f>
        <v>RentalApp</v>
      </c>
      <c r="D86" s="4" t="s">
        <v>3658</v>
      </c>
      <c r="E86" s="4" t="b">
        <v>0</v>
      </c>
      <c r="F86" s="41" t="b">
        <f ca="1">COUNTIF(H82:H85,TRUE)&gt;0</f>
        <v>0</v>
      </c>
      <c r="G86" s="6" t="s">
        <v>3663</v>
      </c>
      <c r="H86" s="11" t="str">
        <f ca="1">IFERROR(VLOOKUP(DB_TBL_DATA_FIELDS[[#This Row],[FIELD_ID]],INDIRECT(DB_TBL_DATA_FIELDS[[#This Row],[SHEET_REF_CALC]]&amp;"!A:B"),2,FALSE),"")</f>
        <v/>
      </c>
      <c r="I86" s="29" t="str">
        <f ca="1">IF(DB_TBL_DATA_FIELDS[[#This Row],[FIELD_EMPTY_FLAG]],"",DB_TBL_DATA_FIELDS[[#This Row],[FIELD_REQ_FLAG]])</f>
        <v/>
      </c>
      <c r="J86" s="6" t="b">
        <f ca="1">(DB_TBL_DATA_FIELDS[[#This Row],[FIELD_VALUE_RAW]]="")</f>
        <v>1</v>
      </c>
      <c r="K86" s="6" t="s">
        <v>11</v>
      </c>
      <c r="L86" s="8" t="b">
        <f ca="1">AND(IF(DB_TBL_DATA_FIELDS[[#This Row],[FIELD_VALID_CUSTOM_LOGIC]]="",TRUE,DB_TBL_DATA_FIELDS[[#This Row],[FIELD_VALID_CUSTOM_LOGIC]]),DB_TBL_DATA_FIELDS[[#This Row],[RANGE_VALIDATION_PASSED_FLAG]])</f>
        <v>1</v>
      </c>
      <c r="M86"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86" s="8">
        <f ca="1">IF(DB_TBL_DATA_FIELDS[[#This Row],[SHEET_REF_CALC]]="","",IF(DB_TBL_DATA_FIELDS[[#This Row],[FIELD_EMPTY_FLAG]],IF(NOT(DB_TBL_DATA_FIELDS[[#This Row],[FIELD_REQ_FLAG]]),-1,1),IF(NOT(DB_TBL_DATA_FIELDS[[#This Row],[FIELD_VALID_FLAG]]),0,2)))</f>
        <v>-1</v>
      </c>
      <c r="O86" s="8" t="str">
        <f ca="1">IFERROR(VLOOKUP(DB_TBL_DATA_FIELDS[[#This Row],[FIELD_STATUS_CODE]],DB_TBL_CONFIG_FIELDSTATUSCODES[#All],3,FALSE),"")</f>
        <v>Optional</v>
      </c>
      <c r="P86" s="8" t="str">
        <f ca="1">IFERROR(VLOOKUP(DB_TBL_DATA_FIELDS[[#This Row],[FIELD_STATUS_CODE]],DB_TBL_CONFIG_FIELDSTATUSCODES[#All],4,FALSE),"")</f>
        <v xml:space="preserve"> </v>
      </c>
      <c r="Q86" s="8" t="b">
        <f>TRUE</f>
        <v>1</v>
      </c>
      <c r="R86" s="8" t="b">
        <f>TRUE</f>
        <v>1</v>
      </c>
      <c r="S86" s="4" t="s">
        <v>11</v>
      </c>
      <c r="T86" s="8">
        <f ca="1">IF(DB_TBL_DATA_FIELDS[[#This Row],[RANGE_VALIDATION_FLAG]]="Text",LEN(DB_TBL_DATA_FIELDS[[#This Row],[FIELD_VALUE_RAW]]),IFERROR(VALUE(DB_TBL_DATA_FIELDS[[#This Row],[FIELD_VALUE_RAW]]),-1))</f>
        <v>0</v>
      </c>
      <c r="U86" s="8">
        <v>0</v>
      </c>
      <c r="V86" s="101">
        <f>CONFIG_CHAR_LIMIT_SMALL</f>
        <v>1000</v>
      </c>
      <c r="W86" s="8" t="b">
        <f ca="1">IF(NOT(DB_TBL_DATA_FIELDS[[#This Row],[RANGE_VALIDATION_ON_FLAG]]),TRUE,
AND(DB_TBL_DATA_FIELDS[[#This Row],[RANGE_VALUE_LEN]]&gt;=DB_TBL_DATA_FIELDS[[#This Row],[RANGE_VALIDATION_MIN]],DB_TBL_DATA_FIELDS[[#This Row],[RANGE_VALUE_LEN]]&lt;=DB_TBL_DATA_FIELDS[[#This Row],[RANGE_VALIDATION_MAX]]))</f>
        <v>1</v>
      </c>
      <c r="X86" s="8">
        <v>1</v>
      </c>
      <c r="Y86" s="8">
        <f ca="1">IF(DB_TBL_DATA_FIELDS[[#This Row],[PCT_CALC_SHOW_STATUS_CODE]]=1,
DB_TBL_DATA_FIELDS[[#This Row],[FIELD_STATUS_CODE]],
IF(AND(DB_TBL_DATA_FIELDS[[#This Row],[PCT_CALC_SHOW_STATUS_CODE]]=2,DB_TBL_DATA_FIELDS[[#This Row],[FIELD_STATUS_CODE]]=0),
DB_TBL_DATA_FIELDS[[#This Row],[FIELD_STATUS_CODE]],
"")
)</f>
        <v>-1</v>
      </c>
      <c r="Z86" s="8"/>
      <c r="AA86" s="11"/>
      <c r="AB86" s="11"/>
      <c r="AC86" s="8" t="s">
        <v>3664</v>
      </c>
    </row>
    <row r="87" spans="1:29" x14ac:dyDescent="0.2">
      <c r="A87" s="4"/>
      <c r="B87" s="4" t="s">
        <v>64</v>
      </c>
      <c r="C87" s="16" t="str">
        <f ca="1">IF($H$10&lt;&gt;"R",IF(DB_TBL_DATA_FIELDS[[#This Row],[SHEET_REF_OWNER]]&lt;&gt;"",DB_TBL_DATA_FIELDS[[#This Row],[SHEET_REF_OWNER]],""),IF(DB_TBL_DATA_FIELDS[[#This Row],[SHEET_REF_RENTAL]]&lt;&gt;"",DB_TBL_DATA_FIELDS[[#This Row],[SHEET_REF_RENTAL]],""))</f>
        <v>RentalApp</v>
      </c>
      <c r="D87" s="378" t="s">
        <v>3620</v>
      </c>
      <c r="E87" s="4" t="b">
        <v>1</v>
      </c>
      <c r="F87" s="4" t="b">
        <v>1</v>
      </c>
      <c r="G87" s="6" t="s">
        <v>3626</v>
      </c>
      <c r="H87" s="11" t="str">
        <f ca="1">IFERROR(VLOOKUP(DB_TBL_DATA_FIELDS[[#This Row],[FIELD_ID]],INDIRECT(DB_TBL_DATA_FIELDS[[#This Row],[SHEET_REF_CALC]]&amp;"!A:B"),2,FALSE),"")</f>
        <v/>
      </c>
      <c r="I87" s="33"/>
      <c r="J87" s="6" t="b">
        <f ca="1">(DB_TBL_DATA_FIELDS[[#This Row],[FIELD_VALUE_RAW]]="")</f>
        <v>1</v>
      </c>
      <c r="K87" s="55" t="s">
        <v>209</v>
      </c>
      <c r="L87" s="8" t="b">
        <f>AND(IF(DB_TBL_DATA_FIELDS[[#This Row],[FIELD_VALID_CUSTOM_LOGIC]]="",TRUE,DB_TBL_DATA_FIELDS[[#This Row],[FIELD_VALID_CUSTOM_LOGIC]]),DB_TBL_DATA_FIELDS[[#This Row],[RANGE_VALIDATION_PASSED_FLAG]])</f>
        <v>1</v>
      </c>
      <c r="M87"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87" s="8">
        <f ca="1">IF(DB_TBL_DATA_FIELDS[[#This Row],[SHEET_REF_CALC]]="","",IF(DB_TBL_DATA_FIELDS[[#This Row],[FIELD_EMPTY_FLAG]],IF(NOT(DB_TBL_DATA_FIELDS[[#This Row],[FIELD_REQ_FLAG]]),-1,1),IF(NOT(DB_TBL_DATA_FIELDS[[#This Row],[FIELD_VALID_FLAG]]),0,2)))</f>
        <v>1</v>
      </c>
      <c r="O87" s="8" t="str">
        <f ca="1">IFERROR(VLOOKUP(DB_TBL_DATA_FIELDS[[#This Row],[FIELD_STATUS_CODE]],DB_TBL_CONFIG_FIELDSTATUSCODES[#All],3,FALSE),"")</f>
        <v>Required</v>
      </c>
      <c r="P87" s="8" t="str">
        <f ca="1">IFERROR(VLOOKUP(DB_TBL_DATA_FIELDS[[#This Row],[FIELD_STATUS_CODE]],DB_TBL_CONFIG_FIELDSTATUSCODES[#All],4,FALSE),"")</f>
        <v>i</v>
      </c>
      <c r="Q87" s="8" t="b">
        <f>TRUE</f>
        <v>1</v>
      </c>
      <c r="R87" s="8" t="b">
        <v>0</v>
      </c>
      <c r="S87" s="4"/>
      <c r="T87" s="8">
        <f ca="1">IF(DB_TBL_DATA_FIELDS[[#This Row],[RANGE_VALIDATION_FLAG]]="Text",LEN(DB_TBL_DATA_FIELDS[[#This Row],[FIELD_VALUE_RAW]]),IFERROR(VALUE(DB_TBL_DATA_FIELDS[[#This Row],[FIELD_VALUE_RAW]]),-1))</f>
        <v>-1</v>
      </c>
      <c r="U87" s="8">
        <v>0</v>
      </c>
      <c r="V87" s="8">
        <v>1</v>
      </c>
      <c r="W87" s="8" t="b">
        <f>IF(NOT(DB_TBL_DATA_FIELDS[[#This Row],[RANGE_VALIDATION_ON_FLAG]]),TRUE,
AND(DB_TBL_DATA_FIELDS[[#This Row],[RANGE_VALUE_LEN]]&gt;=DB_TBL_DATA_FIELDS[[#This Row],[RANGE_VALIDATION_MIN]],DB_TBL_DATA_FIELDS[[#This Row],[RANGE_VALUE_LEN]]&lt;=DB_TBL_DATA_FIELDS[[#This Row],[RANGE_VALIDATION_MAX]]))</f>
        <v>1</v>
      </c>
      <c r="X87" s="8">
        <v>1</v>
      </c>
      <c r="Y87" s="8">
        <f ca="1">IF(DB_TBL_DATA_FIELDS[[#This Row],[PCT_CALC_SHOW_STATUS_CODE]]=1,
DB_TBL_DATA_FIELDS[[#This Row],[FIELD_STATUS_CODE]],
IF(AND(DB_TBL_DATA_FIELDS[[#This Row],[PCT_CALC_SHOW_STATUS_CODE]]=2,DB_TBL_DATA_FIELDS[[#This Row],[FIELD_STATUS_CODE]]=0),
DB_TBL_DATA_FIELDS[[#This Row],[FIELD_STATUS_CODE]],
"")
)</f>
        <v>1</v>
      </c>
      <c r="Z87" s="8"/>
      <c r="AA87" s="11"/>
      <c r="AB87" s="11" t="s">
        <v>2562</v>
      </c>
      <c r="AC87" s="8" t="s">
        <v>3615</v>
      </c>
    </row>
    <row r="88" spans="1:29" x14ac:dyDescent="0.2">
      <c r="A88" s="4"/>
      <c r="B88" s="4" t="s">
        <v>64</v>
      </c>
      <c r="C88" s="16" t="str">
        <f ca="1">IF($H$10&lt;&gt;"R",IF(DB_TBL_DATA_FIELDS[[#This Row],[SHEET_REF_OWNER]]&lt;&gt;"",DB_TBL_DATA_FIELDS[[#This Row],[SHEET_REF_OWNER]],""),IF(DB_TBL_DATA_FIELDS[[#This Row],[SHEET_REF_RENTAL]]&lt;&gt;"",DB_TBL_DATA_FIELDS[[#This Row],[SHEET_REF_RENTAL]],""))</f>
        <v>RentalApp</v>
      </c>
      <c r="D88" s="378" t="s">
        <v>3621</v>
      </c>
      <c r="E88" s="4" t="b">
        <v>1</v>
      </c>
      <c r="F88" s="4" t="b">
        <v>1</v>
      </c>
      <c r="G88" s="6" t="s">
        <v>3627</v>
      </c>
      <c r="H88" s="11" t="str">
        <f ca="1">IFERROR(VLOOKUP(DB_TBL_DATA_FIELDS[[#This Row],[FIELD_ID]],INDIRECT(DB_TBL_DATA_FIELDS[[#This Row],[SHEET_REF_CALC]]&amp;"!A:B"),2,FALSE),"")</f>
        <v/>
      </c>
      <c r="I88" s="33"/>
      <c r="J88" s="6" t="b">
        <f ca="1">(DB_TBL_DATA_FIELDS[[#This Row],[FIELD_VALUE_RAW]]="")</f>
        <v>1</v>
      </c>
      <c r="K88" s="55" t="s">
        <v>209</v>
      </c>
      <c r="L88" s="8" t="b">
        <f>AND(IF(DB_TBL_DATA_FIELDS[[#This Row],[FIELD_VALID_CUSTOM_LOGIC]]="",TRUE,DB_TBL_DATA_FIELDS[[#This Row],[FIELD_VALID_CUSTOM_LOGIC]]),DB_TBL_DATA_FIELDS[[#This Row],[RANGE_VALIDATION_PASSED_FLAG]])</f>
        <v>1</v>
      </c>
      <c r="M88"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88" s="8">
        <f ca="1">IF(DB_TBL_DATA_FIELDS[[#This Row],[SHEET_REF_CALC]]="","",IF(DB_TBL_DATA_FIELDS[[#This Row],[FIELD_EMPTY_FLAG]],IF(NOT(DB_TBL_DATA_FIELDS[[#This Row],[FIELD_REQ_FLAG]]),-1,1),IF(NOT(DB_TBL_DATA_FIELDS[[#This Row],[FIELD_VALID_FLAG]]),0,2)))</f>
        <v>1</v>
      </c>
      <c r="O88" s="8" t="str">
        <f ca="1">IFERROR(VLOOKUP(DB_TBL_DATA_FIELDS[[#This Row],[FIELD_STATUS_CODE]],DB_TBL_CONFIG_FIELDSTATUSCODES[#All],3,FALSE),"")</f>
        <v>Required</v>
      </c>
      <c r="P88" s="8" t="str">
        <f ca="1">IFERROR(VLOOKUP(DB_TBL_DATA_FIELDS[[#This Row],[FIELD_STATUS_CODE]],DB_TBL_CONFIG_FIELDSTATUSCODES[#All],4,FALSE),"")</f>
        <v>i</v>
      </c>
      <c r="Q88" s="8" t="b">
        <f>TRUE</f>
        <v>1</v>
      </c>
      <c r="R88" s="8" t="b">
        <v>0</v>
      </c>
      <c r="S88" s="4"/>
      <c r="T88" s="8">
        <f ca="1">IF(DB_TBL_DATA_FIELDS[[#This Row],[RANGE_VALIDATION_FLAG]]="Text",LEN(DB_TBL_DATA_FIELDS[[#This Row],[FIELD_VALUE_RAW]]),IFERROR(VALUE(DB_TBL_DATA_FIELDS[[#This Row],[FIELD_VALUE_RAW]]),-1))</f>
        <v>-1</v>
      </c>
      <c r="U88" s="8">
        <v>0</v>
      </c>
      <c r="V88" s="8">
        <v>1</v>
      </c>
      <c r="W88" s="8" t="b">
        <f>IF(NOT(DB_TBL_DATA_FIELDS[[#This Row],[RANGE_VALIDATION_ON_FLAG]]),TRUE,
AND(DB_TBL_DATA_FIELDS[[#This Row],[RANGE_VALUE_LEN]]&gt;=DB_TBL_DATA_FIELDS[[#This Row],[RANGE_VALIDATION_MIN]],DB_TBL_DATA_FIELDS[[#This Row],[RANGE_VALUE_LEN]]&lt;=DB_TBL_DATA_FIELDS[[#This Row],[RANGE_VALIDATION_MAX]]))</f>
        <v>1</v>
      </c>
      <c r="X88" s="8">
        <v>1</v>
      </c>
      <c r="Y88" s="8">
        <f ca="1">IF(DB_TBL_DATA_FIELDS[[#This Row],[PCT_CALC_SHOW_STATUS_CODE]]=1,
DB_TBL_DATA_FIELDS[[#This Row],[FIELD_STATUS_CODE]],
IF(AND(DB_TBL_DATA_FIELDS[[#This Row],[PCT_CALC_SHOW_STATUS_CODE]]=2,DB_TBL_DATA_FIELDS[[#This Row],[FIELD_STATUS_CODE]]=0),
DB_TBL_DATA_FIELDS[[#This Row],[FIELD_STATUS_CODE]],
"")
)</f>
        <v>1</v>
      </c>
      <c r="Z88" s="8"/>
      <c r="AA88" s="11"/>
      <c r="AB88" s="11" t="s">
        <v>2562</v>
      </c>
      <c r="AC88" s="8" t="s">
        <v>3615</v>
      </c>
    </row>
    <row r="89" spans="1:29" x14ac:dyDescent="0.2">
      <c r="A89" s="4"/>
      <c r="B89" s="4" t="s">
        <v>64</v>
      </c>
      <c r="C89" s="16" t="str">
        <f ca="1">IF($H$10&lt;&gt;"R",IF(DB_TBL_DATA_FIELDS[[#This Row],[SHEET_REF_OWNER]]&lt;&gt;"",DB_TBL_DATA_FIELDS[[#This Row],[SHEET_REF_OWNER]],""),IF(DB_TBL_DATA_FIELDS[[#This Row],[SHEET_REF_RENTAL]]&lt;&gt;"",DB_TBL_DATA_FIELDS[[#This Row],[SHEET_REF_RENTAL]],""))</f>
        <v>RentalApp</v>
      </c>
      <c r="D89" s="378" t="s">
        <v>3622</v>
      </c>
      <c r="E89" s="4" t="b">
        <v>0</v>
      </c>
      <c r="F89" s="84" t="b">
        <f ca="1">OR(DATA_UNIQUEFIN_TAXCREDIT_HYBRID_FLG=TRUE,DATA_UNIQUEFIN_UNITS_DSTRIB_FLG=TRUE)</f>
        <v>0</v>
      </c>
      <c r="G89" s="6" t="s">
        <v>3628</v>
      </c>
      <c r="H89" s="11" t="str">
        <f ca="1">IFERROR(VLOOKUP(DB_TBL_DATA_FIELDS[[#This Row],[FIELD_ID]],INDIRECT(DB_TBL_DATA_FIELDS[[#This Row],[SHEET_REF_CALC]]&amp;"!A:B"),2,FALSE),"")</f>
        <v/>
      </c>
      <c r="I89" s="29" t="str">
        <f ca="1">IF(DB_TBL_DATA_FIELDS[[#This Row],[FIELD_VALUE_RAW]]="","",DB_TBL_DATA_FIELDS[[#This Row],[FIELD_REQ_FLAG]])</f>
        <v/>
      </c>
      <c r="J89" s="6" t="b">
        <f ca="1">(DB_TBL_DATA_FIELDS[[#This Row],[FIELD_VALUE_RAW]]="")</f>
        <v>1</v>
      </c>
      <c r="K89" s="55" t="s">
        <v>209</v>
      </c>
      <c r="L89" s="8" t="b">
        <f ca="1">AND(IF(DB_TBL_DATA_FIELDS[[#This Row],[FIELD_VALID_CUSTOM_LOGIC]]="",TRUE,DB_TBL_DATA_FIELDS[[#This Row],[FIELD_VALID_CUSTOM_LOGIC]]),DB_TBL_DATA_FIELDS[[#This Row],[RANGE_VALIDATION_PASSED_FLAG]])</f>
        <v>1</v>
      </c>
      <c r="M89"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89" s="8">
        <f ca="1">IF(DB_TBL_DATA_FIELDS[[#This Row],[SHEET_REF_CALC]]="","",IF(DB_TBL_DATA_FIELDS[[#This Row],[FIELD_EMPTY_FLAG]],IF(NOT(DB_TBL_DATA_FIELDS[[#This Row],[FIELD_REQ_FLAG]]),-1,1),IF(NOT(DB_TBL_DATA_FIELDS[[#This Row],[FIELD_VALID_FLAG]]),0,2)))</f>
        <v>-1</v>
      </c>
      <c r="O89" s="8" t="str">
        <f ca="1">IFERROR(VLOOKUP(DB_TBL_DATA_FIELDS[[#This Row],[FIELD_STATUS_CODE]],DB_TBL_CONFIG_FIELDSTATUSCODES[#All],3,FALSE),"")</f>
        <v>Optional</v>
      </c>
      <c r="P89" s="8" t="str">
        <f ca="1">IFERROR(VLOOKUP(DB_TBL_DATA_FIELDS[[#This Row],[FIELD_STATUS_CODE]],DB_TBL_CONFIG_FIELDSTATUSCODES[#All],4,FALSE),"")</f>
        <v xml:space="preserve"> </v>
      </c>
      <c r="Q89" s="8" t="b">
        <f>TRUE</f>
        <v>1</v>
      </c>
      <c r="R89" s="8" t="b">
        <v>0</v>
      </c>
      <c r="S89" s="4"/>
      <c r="T89" s="8">
        <f ca="1">IF(DB_TBL_DATA_FIELDS[[#This Row],[RANGE_VALIDATION_FLAG]]="Text",LEN(DB_TBL_DATA_FIELDS[[#This Row],[FIELD_VALUE_RAW]]),IFERROR(VALUE(DB_TBL_DATA_FIELDS[[#This Row],[FIELD_VALUE_RAW]]),-1))</f>
        <v>-1</v>
      </c>
      <c r="U89" s="8">
        <v>0</v>
      </c>
      <c r="V89" s="8">
        <v>1</v>
      </c>
      <c r="W89" s="8" t="b">
        <f>IF(NOT(DB_TBL_DATA_FIELDS[[#This Row],[RANGE_VALIDATION_ON_FLAG]]),TRUE,
AND(DB_TBL_DATA_FIELDS[[#This Row],[RANGE_VALUE_LEN]]&gt;=DB_TBL_DATA_FIELDS[[#This Row],[RANGE_VALIDATION_MIN]],DB_TBL_DATA_FIELDS[[#This Row],[RANGE_VALUE_LEN]]&lt;=DB_TBL_DATA_FIELDS[[#This Row],[RANGE_VALIDATION_MAX]]))</f>
        <v>1</v>
      </c>
      <c r="X89" s="8">
        <v>1</v>
      </c>
      <c r="Y89" s="8">
        <f ca="1">IF(DB_TBL_DATA_FIELDS[[#This Row],[PCT_CALC_SHOW_STATUS_CODE]]=1,
DB_TBL_DATA_FIELDS[[#This Row],[FIELD_STATUS_CODE]],
IF(AND(DB_TBL_DATA_FIELDS[[#This Row],[PCT_CALC_SHOW_STATUS_CODE]]=2,DB_TBL_DATA_FIELDS[[#This Row],[FIELD_STATUS_CODE]]=0),
DB_TBL_DATA_FIELDS[[#This Row],[FIELD_STATUS_CODE]],
"")
)</f>
        <v>-1</v>
      </c>
      <c r="Z89" s="8"/>
      <c r="AA89" s="11"/>
      <c r="AB89" s="11" t="s">
        <v>2562</v>
      </c>
      <c r="AC89" s="8" t="s">
        <v>3615</v>
      </c>
    </row>
    <row r="90" spans="1:29" x14ac:dyDescent="0.2">
      <c r="A90" s="4"/>
      <c r="B90" s="4" t="s">
        <v>64</v>
      </c>
      <c r="C90" s="16" t="str">
        <f ca="1">IF($H$10&lt;&gt;"R",IF(DB_TBL_DATA_FIELDS[[#This Row],[SHEET_REF_OWNER]]&lt;&gt;"",DB_TBL_DATA_FIELDS[[#This Row],[SHEET_REF_OWNER]],""),IF(DB_TBL_DATA_FIELDS[[#This Row],[SHEET_REF_RENTAL]]&lt;&gt;"",DB_TBL_DATA_FIELDS[[#This Row],[SHEET_REF_RENTAL]],""))</f>
        <v>RentalApp</v>
      </c>
      <c r="D90" s="378" t="s">
        <v>3623</v>
      </c>
      <c r="E90" s="4" t="b">
        <v>0</v>
      </c>
      <c r="F90" s="84" t="b">
        <f ca="1">OR(DATA_UNIQUEFIN_TAXCREDIT_HYBRID_FLG=TRUE,DATA_UNIQUEFIN_UNITS_DSTRIB_FLG=TRUE)</f>
        <v>0</v>
      </c>
      <c r="G90" s="6" t="s">
        <v>3629</v>
      </c>
      <c r="H90" s="11" t="str">
        <f ca="1">IFERROR(VLOOKUP(DB_TBL_DATA_FIELDS[[#This Row],[FIELD_ID]],INDIRECT(DB_TBL_DATA_FIELDS[[#This Row],[SHEET_REF_CALC]]&amp;"!A:B"),2,FALSE),"")</f>
        <v/>
      </c>
      <c r="I90" s="29" t="str">
        <f ca="1">IF(DB_TBL_DATA_FIELDS[[#This Row],[FIELD_VALUE_RAW]]="","",DB_TBL_DATA_FIELDS[[#This Row],[FIELD_REQ_FLAG]])</f>
        <v/>
      </c>
      <c r="J90" s="6" t="b">
        <f ca="1">(DB_TBL_DATA_FIELDS[[#This Row],[FIELD_VALUE_RAW]]="")</f>
        <v>1</v>
      </c>
      <c r="K90" s="55" t="s">
        <v>209</v>
      </c>
      <c r="L90" s="8" t="b">
        <f ca="1">AND(IF(DB_TBL_DATA_FIELDS[[#This Row],[FIELD_VALID_CUSTOM_LOGIC]]="",TRUE,DB_TBL_DATA_FIELDS[[#This Row],[FIELD_VALID_CUSTOM_LOGIC]]),DB_TBL_DATA_FIELDS[[#This Row],[RANGE_VALIDATION_PASSED_FLAG]])</f>
        <v>1</v>
      </c>
      <c r="M90"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90" s="8">
        <f ca="1">IF(DB_TBL_DATA_FIELDS[[#This Row],[SHEET_REF_CALC]]="","",IF(DB_TBL_DATA_FIELDS[[#This Row],[FIELD_EMPTY_FLAG]],IF(NOT(DB_TBL_DATA_FIELDS[[#This Row],[FIELD_REQ_FLAG]]),-1,1),IF(NOT(DB_TBL_DATA_FIELDS[[#This Row],[FIELD_VALID_FLAG]]),0,2)))</f>
        <v>-1</v>
      </c>
      <c r="O90" s="8" t="str">
        <f ca="1">IFERROR(VLOOKUP(DB_TBL_DATA_FIELDS[[#This Row],[FIELD_STATUS_CODE]],DB_TBL_CONFIG_FIELDSTATUSCODES[#All],3,FALSE),"")</f>
        <v>Optional</v>
      </c>
      <c r="P90" s="8" t="str">
        <f ca="1">IFERROR(VLOOKUP(DB_TBL_DATA_FIELDS[[#This Row],[FIELD_STATUS_CODE]],DB_TBL_CONFIG_FIELDSTATUSCODES[#All],4,FALSE),"")</f>
        <v xml:space="preserve"> </v>
      </c>
      <c r="Q90" s="8" t="b">
        <f>TRUE</f>
        <v>1</v>
      </c>
      <c r="R90" s="8" t="b">
        <v>0</v>
      </c>
      <c r="S90" s="4"/>
      <c r="T90" s="8">
        <f ca="1">IF(DB_TBL_DATA_FIELDS[[#This Row],[RANGE_VALIDATION_FLAG]]="Text",LEN(DB_TBL_DATA_FIELDS[[#This Row],[FIELD_VALUE_RAW]]),IFERROR(VALUE(DB_TBL_DATA_FIELDS[[#This Row],[FIELD_VALUE_RAW]]),-1))</f>
        <v>-1</v>
      </c>
      <c r="U90" s="8">
        <v>0</v>
      </c>
      <c r="V90" s="8">
        <v>1</v>
      </c>
      <c r="W90" s="8" t="b">
        <f>IF(NOT(DB_TBL_DATA_FIELDS[[#This Row],[RANGE_VALIDATION_ON_FLAG]]),TRUE,
AND(DB_TBL_DATA_FIELDS[[#This Row],[RANGE_VALUE_LEN]]&gt;=DB_TBL_DATA_FIELDS[[#This Row],[RANGE_VALIDATION_MIN]],DB_TBL_DATA_FIELDS[[#This Row],[RANGE_VALUE_LEN]]&lt;=DB_TBL_DATA_FIELDS[[#This Row],[RANGE_VALIDATION_MAX]]))</f>
        <v>1</v>
      </c>
      <c r="X90" s="8">
        <v>1</v>
      </c>
      <c r="Y90" s="8">
        <f ca="1">IF(DB_TBL_DATA_FIELDS[[#This Row],[PCT_CALC_SHOW_STATUS_CODE]]=1,
DB_TBL_DATA_FIELDS[[#This Row],[FIELD_STATUS_CODE]],
IF(AND(DB_TBL_DATA_FIELDS[[#This Row],[PCT_CALC_SHOW_STATUS_CODE]]=2,DB_TBL_DATA_FIELDS[[#This Row],[FIELD_STATUS_CODE]]=0),
DB_TBL_DATA_FIELDS[[#This Row],[FIELD_STATUS_CODE]],
"")
)</f>
        <v>-1</v>
      </c>
      <c r="Z90" s="8"/>
      <c r="AA90" s="11"/>
      <c r="AB90" s="11" t="s">
        <v>2562</v>
      </c>
      <c r="AC90" s="8" t="s">
        <v>3615</v>
      </c>
    </row>
    <row r="91" spans="1:29" x14ac:dyDescent="0.2">
      <c r="A91" s="4"/>
      <c r="B91" s="4" t="s">
        <v>64</v>
      </c>
      <c r="C91" s="16" t="str">
        <f ca="1">IF($H$10&lt;&gt;"R",IF(DB_TBL_DATA_FIELDS[[#This Row],[SHEET_REF_OWNER]]&lt;&gt;"",DB_TBL_DATA_FIELDS[[#This Row],[SHEET_REF_OWNER]],""),IF(DB_TBL_DATA_FIELDS[[#This Row],[SHEET_REF_RENTAL]]&lt;&gt;"",DB_TBL_DATA_FIELDS[[#This Row],[SHEET_REF_RENTAL]],""))</f>
        <v>RentalApp</v>
      </c>
      <c r="D91" s="378" t="s">
        <v>3624</v>
      </c>
      <c r="E91" s="4" t="b">
        <v>0</v>
      </c>
      <c r="F91" s="84" t="b">
        <f ca="1">OR(DATA_UNIQUEFIN_TAXCREDIT_HYBRID_FLG=TRUE,DATA_UNIQUEFIN_UNITS_DSTRIB_FLG=TRUE)</f>
        <v>0</v>
      </c>
      <c r="G91" s="6" t="s">
        <v>3630</v>
      </c>
      <c r="H91" s="11" t="str">
        <f ca="1">IFERROR(VLOOKUP(DB_TBL_DATA_FIELDS[[#This Row],[FIELD_ID]],INDIRECT(DB_TBL_DATA_FIELDS[[#This Row],[SHEET_REF_CALC]]&amp;"!A:B"),2,FALSE),"")</f>
        <v/>
      </c>
      <c r="I91" s="29" t="str">
        <f ca="1">IF(DB_TBL_DATA_FIELDS[[#This Row],[FIELD_VALUE_RAW]]="","",DB_TBL_DATA_FIELDS[[#This Row],[FIELD_REQ_FLAG]])</f>
        <v/>
      </c>
      <c r="J91" s="6" t="b">
        <f ca="1">(DB_TBL_DATA_FIELDS[[#This Row],[FIELD_VALUE_RAW]]="")</f>
        <v>1</v>
      </c>
      <c r="K91" s="55" t="s">
        <v>209</v>
      </c>
      <c r="L91" s="8" t="b">
        <f ca="1">AND(IF(DB_TBL_DATA_FIELDS[[#This Row],[FIELD_VALID_CUSTOM_LOGIC]]="",TRUE,DB_TBL_DATA_FIELDS[[#This Row],[FIELD_VALID_CUSTOM_LOGIC]]),DB_TBL_DATA_FIELDS[[#This Row],[RANGE_VALIDATION_PASSED_FLAG]])</f>
        <v>1</v>
      </c>
      <c r="M91"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91" s="8">
        <f ca="1">IF(DB_TBL_DATA_FIELDS[[#This Row],[SHEET_REF_CALC]]="","",IF(DB_TBL_DATA_FIELDS[[#This Row],[FIELD_EMPTY_FLAG]],IF(NOT(DB_TBL_DATA_FIELDS[[#This Row],[FIELD_REQ_FLAG]]),-1,1),IF(NOT(DB_TBL_DATA_FIELDS[[#This Row],[FIELD_VALID_FLAG]]),0,2)))</f>
        <v>-1</v>
      </c>
      <c r="O91" s="8" t="str">
        <f ca="1">IFERROR(VLOOKUP(DB_TBL_DATA_FIELDS[[#This Row],[FIELD_STATUS_CODE]],DB_TBL_CONFIG_FIELDSTATUSCODES[#All],3,FALSE),"")</f>
        <v>Optional</v>
      </c>
      <c r="P91" s="8" t="str">
        <f ca="1">IFERROR(VLOOKUP(DB_TBL_DATA_FIELDS[[#This Row],[FIELD_STATUS_CODE]],DB_TBL_CONFIG_FIELDSTATUSCODES[#All],4,FALSE),"")</f>
        <v xml:space="preserve"> </v>
      </c>
      <c r="Q91" s="8" t="b">
        <f>TRUE</f>
        <v>1</v>
      </c>
      <c r="R91" s="8" t="b">
        <v>0</v>
      </c>
      <c r="S91" s="4"/>
      <c r="T91" s="8">
        <f ca="1">IF(DB_TBL_DATA_FIELDS[[#This Row],[RANGE_VALIDATION_FLAG]]="Text",LEN(DB_TBL_DATA_FIELDS[[#This Row],[FIELD_VALUE_RAW]]),IFERROR(VALUE(DB_TBL_DATA_FIELDS[[#This Row],[FIELD_VALUE_RAW]]),-1))</f>
        <v>-1</v>
      </c>
      <c r="U91" s="8">
        <v>0</v>
      </c>
      <c r="V91" s="8">
        <v>1</v>
      </c>
      <c r="W91" s="8" t="b">
        <f>IF(NOT(DB_TBL_DATA_FIELDS[[#This Row],[RANGE_VALIDATION_ON_FLAG]]),TRUE,
AND(DB_TBL_DATA_FIELDS[[#This Row],[RANGE_VALUE_LEN]]&gt;=DB_TBL_DATA_FIELDS[[#This Row],[RANGE_VALIDATION_MIN]],DB_TBL_DATA_FIELDS[[#This Row],[RANGE_VALUE_LEN]]&lt;=DB_TBL_DATA_FIELDS[[#This Row],[RANGE_VALIDATION_MAX]]))</f>
        <v>1</v>
      </c>
      <c r="X91" s="8">
        <v>1</v>
      </c>
      <c r="Y91" s="8">
        <f ca="1">IF(DB_TBL_DATA_FIELDS[[#This Row],[PCT_CALC_SHOW_STATUS_CODE]]=1,
DB_TBL_DATA_FIELDS[[#This Row],[FIELD_STATUS_CODE]],
IF(AND(DB_TBL_DATA_FIELDS[[#This Row],[PCT_CALC_SHOW_STATUS_CODE]]=2,DB_TBL_DATA_FIELDS[[#This Row],[FIELD_STATUS_CODE]]=0),
DB_TBL_DATA_FIELDS[[#This Row],[FIELD_STATUS_CODE]],
"")
)</f>
        <v>-1</v>
      </c>
      <c r="Z91" s="8"/>
      <c r="AA91" s="11"/>
      <c r="AB91" s="11" t="s">
        <v>2562</v>
      </c>
      <c r="AC91" s="8" t="s">
        <v>3615</v>
      </c>
    </row>
    <row r="92" spans="1:29" x14ac:dyDescent="0.2">
      <c r="A92" s="4"/>
      <c r="B92" s="4" t="s">
        <v>64</v>
      </c>
      <c r="C92" s="16" t="str">
        <f ca="1">IF($H$10&lt;&gt;"R",IF(DB_TBL_DATA_FIELDS[[#This Row],[SHEET_REF_OWNER]]&lt;&gt;"",DB_TBL_DATA_FIELDS[[#This Row],[SHEET_REF_OWNER]],""),IF(DB_TBL_DATA_FIELDS[[#This Row],[SHEET_REF_RENTAL]]&lt;&gt;"",DB_TBL_DATA_FIELDS[[#This Row],[SHEET_REF_RENTAL]],""))</f>
        <v>RentalApp</v>
      </c>
      <c r="D92" s="378" t="s">
        <v>3625</v>
      </c>
      <c r="E92" s="4" t="b">
        <v>0</v>
      </c>
      <c r="F92" s="84" t="b">
        <f ca="1">OR(DATA_UNIQUEFIN_TAXCREDIT_HYBRID_FLG=TRUE,DATA_UNIQUEFIN_UNITS_DSTRIB_FLG=TRUE)</f>
        <v>0</v>
      </c>
      <c r="G92" s="6" t="s">
        <v>3631</v>
      </c>
      <c r="H92" s="11" t="str">
        <f ca="1">IFERROR(VLOOKUP(DB_TBL_DATA_FIELDS[[#This Row],[FIELD_ID]],INDIRECT(DB_TBL_DATA_FIELDS[[#This Row],[SHEET_REF_CALC]]&amp;"!A:B"),2,FALSE),"")</f>
        <v/>
      </c>
      <c r="I92" s="29" t="str">
        <f ca="1">IF(DB_TBL_DATA_FIELDS[[#This Row],[FIELD_VALUE_RAW]]="","",DB_TBL_DATA_FIELDS[[#This Row],[FIELD_REQ_FLAG]])</f>
        <v/>
      </c>
      <c r="J92" s="6" t="b">
        <f ca="1">(DB_TBL_DATA_FIELDS[[#This Row],[FIELD_VALUE_RAW]]="")</f>
        <v>1</v>
      </c>
      <c r="K92" s="6" t="s">
        <v>11</v>
      </c>
      <c r="L92" s="8" t="b">
        <f ca="1">AND(IF(DB_TBL_DATA_FIELDS[[#This Row],[FIELD_VALID_CUSTOM_LOGIC]]="",TRUE,DB_TBL_DATA_FIELDS[[#This Row],[FIELD_VALID_CUSTOM_LOGIC]]),DB_TBL_DATA_FIELDS[[#This Row],[RANGE_VALIDATION_PASSED_FLAG]])</f>
        <v>1</v>
      </c>
      <c r="M92"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92" s="8">
        <f ca="1">IF(DB_TBL_DATA_FIELDS[[#This Row],[SHEET_REF_CALC]]="","",IF(DB_TBL_DATA_FIELDS[[#This Row],[FIELD_EMPTY_FLAG]],IF(NOT(DB_TBL_DATA_FIELDS[[#This Row],[FIELD_REQ_FLAG]]),-1,1),IF(NOT(DB_TBL_DATA_FIELDS[[#This Row],[FIELD_VALID_FLAG]]),0,2)))</f>
        <v>-1</v>
      </c>
      <c r="O92" s="8" t="str">
        <f ca="1">IFERROR(VLOOKUP(DB_TBL_DATA_FIELDS[[#This Row],[FIELD_STATUS_CODE]],DB_TBL_CONFIG_FIELDSTATUSCODES[#All],3,FALSE),"")</f>
        <v>Optional</v>
      </c>
      <c r="P92" s="8" t="str">
        <f ca="1">IFERROR(VLOOKUP(DB_TBL_DATA_FIELDS[[#This Row],[FIELD_STATUS_CODE]],DB_TBL_CONFIG_FIELDSTATUSCODES[#All],4,FALSE),"")</f>
        <v xml:space="preserve"> </v>
      </c>
      <c r="Q92" s="8" t="b">
        <f>TRUE</f>
        <v>1</v>
      </c>
      <c r="R92" s="8" t="b">
        <f>TRUE</f>
        <v>1</v>
      </c>
      <c r="S92" s="4" t="s">
        <v>11</v>
      </c>
      <c r="T92" s="8">
        <f ca="1">IF(DB_TBL_DATA_FIELDS[[#This Row],[RANGE_VALIDATION_FLAG]]="Text",LEN(DB_TBL_DATA_FIELDS[[#This Row],[FIELD_VALUE_RAW]]),IFERROR(VALUE(DB_TBL_DATA_FIELDS[[#This Row],[FIELD_VALUE_RAW]]),-1))</f>
        <v>0</v>
      </c>
      <c r="U92" s="8">
        <v>0</v>
      </c>
      <c r="V92" s="101">
        <f>CONFIG_CHAR_LIMIT_SMALL</f>
        <v>1000</v>
      </c>
      <c r="W92" s="8" t="b">
        <f ca="1">IF(NOT(DB_TBL_DATA_FIELDS[[#This Row],[RANGE_VALIDATION_ON_FLAG]]),TRUE,
AND(DB_TBL_DATA_FIELDS[[#This Row],[RANGE_VALUE_LEN]]&gt;=DB_TBL_DATA_FIELDS[[#This Row],[RANGE_VALIDATION_MIN]],DB_TBL_DATA_FIELDS[[#This Row],[RANGE_VALUE_LEN]]&lt;=DB_TBL_DATA_FIELDS[[#This Row],[RANGE_VALIDATION_MAX]]))</f>
        <v>1</v>
      </c>
      <c r="X92" s="8">
        <v>1</v>
      </c>
      <c r="Y92" s="8">
        <f ca="1">IF(DB_TBL_DATA_FIELDS[[#This Row],[PCT_CALC_SHOW_STATUS_CODE]]=1,
DB_TBL_DATA_FIELDS[[#This Row],[FIELD_STATUS_CODE]],
IF(AND(DB_TBL_DATA_FIELDS[[#This Row],[PCT_CALC_SHOW_STATUS_CODE]]=2,DB_TBL_DATA_FIELDS[[#This Row],[FIELD_STATUS_CODE]]=0),
DB_TBL_DATA_FIELDS[[#This Row],[FIELD_STATUS_CODE]],
"")
)</f>
        <v>-1</v>
      </c>
      <c r="Z92" s="8"/>
      <c r="AA92" s="11"/>
      <c r="AB92" s="11" t="s">
        <v>2562</v>
      </c>
      <c r="AC92" s="8" t="s">
        <v>3615</v>
      </c>
    </row>
    <row r="93" spans="1:29" x14ac:dyDescent="0.2">
      <c r="A93" s="4" t="s">
        <v>65</v>
      </c>
      <c r="B93" s="4" t="s">
        <v>64</v>
      </c>
      <c r="C93" s="16" t="str">
        <f ca="1">IF($H$10&lt;&gt;"R",IF(DB_TBL_DATA_FIELDS[[#This Row],[SHEET_REF_OWNER]]&lt;&gt;"",DB_TBL_DATA_FIELDS[[#This Row],[SHEET_REF_OWNER]],""),IF(DB_TBL_DATA_FIELDS[[#This Row],[SHEET_REF_RENTAL]]&lt;&gt;"",DB_TBL_DATA_FIELDS[[#This Row],[SHEET_REF_RENTAL]],""))</f>
        <v>RentalApp</v>
      </c>
      <c r="D93" s="52" t="s">
        <v>2535</v>
      </c>
      <c r="E93" s="52" t="b">
        <v>1</v>
      </c>
      <c r="F93" s="54" t="b">
        <v>1</v>
      </c>
      <c r="G93" s="55" t="s">
        <v>2556</v>
      </c>
      <c r="H93" s="57" t="str">
        <f ca="1">IFERROR(VLOOKUP(DB_TBL_DATA_FIELDS[[#This Row],[FIELD_ID]],INDIRECT(DB_TBL_DATA_FIELDS[[#This Row],[SHEET_REF_CALC]]&amp;"!A:B"),2,FALSE),"")</f>
        <v/>
      </c>
      <c r="I93" s="57"/>
      <c r="J93" s="55" t="b">
        <f ca="1">(DB_TBL_DATA_FIELDS[[#This Row],[FIELD_VALUE_RAW]]="")</f>
        <v>1</v>
      </c>
      <c r="K93" s="55" t="s">
        <v>209</v>
      </c>
      <c r="L93" s="53" t="b">
        <f>AND(IF(DB_TBL_DATA_FIELDS[[#This Row],[FIELD_VALID_CUSTOM_LOGIC]]="",TRUE,DB_TBL_DATA_FIELDS[[#This Row],[FIELD_VALID_CUSTOM_LOGIC]]),DB_TBL_DATA_FIELDS[[#This Row],[RANGE_VALIDATION_PASSED_FLAG]])</f>
        <v>1</v>
      </c>
      <c r="M93" s="57"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93" s="53">
        <f ca="1">IF(DB_TBL_DATA_FIELDS[[#This Row],[SHEET_REF_CALC]]="","",IF(DB_TBL_DATA_FIELDS[[#This Row],[FIELD_EMPTY_FLAG]],IF(NOT(DB_TBL_DATA_FIELDS[[#This Row],[FIELD_REQ_FLAG]]),-1,1),IF(NOT(DB_TBL_DATA_FIELDS[[#This Row],[FIELD_VALID_FLAG]]),0,2)))</f>
        <v>1</v>
      </c>
      <c r="O93" s="53" t="str">
        <f ca="1">IFERROR(VLOOKUP(DB_TBL_DATA_FIELDS[[#This Row],[FIELD_STATUS_CODE]],DB_TBL_CONFIG_FIELDSTATUSCODES[#All],3,FALSE),"")</f>
        <v>Required</v>
      </c>
      <c r="P93" s="53" t="str">
        <f ca="1">IFERROR(VLOOKUP(DB_TBL_DATA_FIELDS[[#This Row],[FIELD_STATUS_CODE]],DB_TBL_CONFIG_FIELDSTATUSCODES[#All],4,FALSE),"")</f>
        <v>i</v>
      </c>
      <c r="Q93" s="53" t="b">
        <f>TRUE</f>
        <v>1</v>
      </c>
      <c r="R93" s="53" t="b">
        <v>0</v>
      </c>
      <c r="S93" s="52"/>
      <c r="T93" s="53">
        <f ca="1">IF(DB_TBL_DATA_FIELDS[[#This Row],[RANGE_VALIDATION_FLAG]]="Text",LEN(DB_TBL_DATA_FIELDS[[#This Row],[FIELD_VALUE_RAW]]),IFERROR(VALUE(DB_TBL_DATA_FIELDS[[#This Row],[FIELD_VALUE_RAW]]),-1))</f>
        <v>-1</v>
      </c>
      <c r="U93" s="53">
        <v>0</v>
      </c>
      <c r="V93" s="83">
        <v>1</v>
      </c>
      <c r="W93" s="53" t="b">
        <f>IF(NOT(DB_TBL_DATA_FIELDS[[#This Row],[RANGE_VALIDATION_ON_FLAG]]),TRUE,
AND(DB_TBL_DATA_FIELDS[[#This Row],[RANGE_VALUE_LEN]]&gt;=DB_TBL_DATA_FIELDS[[#This Row],[RANGE_VALIDATION_MIN]],DB_TBL_DATA_FIELDS[[#This Row],[RANGE_VALUE_LEN]]&lt;=DB_TBL_DATA_FIELDS[[#This Row],[RANGE_VALIDATION_MAX]]))</f>
        <v>1</v>
      </c>
      <c r="X93" s="8">
        <v>1</v>
      </c>
      <c r="Y93" s="53">
        <f ca="1">IF(DB_TBL_DATA_FIELDS[[#This Row],[PCT_CALC_SHOW_STATUS_CODE]]=1,
DB_TBL_DATA_FIELDS[[#This Row],[FIELD_STATUS_CODE]],
IF(AND(DB_TBL_DATA_FIELDS[[#This Row],[PCT_CALC_SHOW_STATUS_CODE]]=2,DB_TBL_DATA_FIELDS[[#This Row],[FIELD_STATUS_CODE]]=0),
DB_TBL_DATA_FIELDS[[#This Row],[FIELD_STATUS_CODE]],
"")
)</f>
        <v>1</v>
      </c>
      <c r="Z93" s="53"/>
      <c r="AA93" s="11" t="s">
        <v>2578</v>
      </c>
      <c r="AB93" s="11" t="s">
        <v>2562</v>
      </c>
      <c r="AC93" s="53"/>
    </row>
    <row r="94" spans="1:29" x14ac:dyDescent="0.2">
      <c r="A94" s="4" t="s">
        <v>65</v>
      </c>
      <c r="B94" s="4" t="s">
        <v>64</v>
      </c>
      <c r="C94" s="16" t="str">
        <f ca="1">IF($H$10&lt;&gt;"R",IF(DB_TBL_DATA_FIELDS[[#This Row],[SHEET_REF_OWNER]]&lt;&gt;"",DB_TBL_DATA_FIELDS[[#This Row],[SHEET_REF_OWNER]],""),IF(DB_TBL_DATA_FIELDS[[#This Row],[SHEET_REF_RENTAL]]&lt;&gt;"",DB_TBL_DATA_FIELDS[[#This Row],[SHEET_REF_RENTAL]],""))</f>
        <v>RentalApp</v>
      </c>
      <c r="D94" s="52" t="s">
        <v>2536</v>
      </c>
      <c r="E94" s="52" t="b">
        <v>1</v>
      </c>
      <c r="F94" s="54" t="b">
        <v>1</v>
      </c>
      <c r="G94" s="55" t="s">
        <v>2557</v>
      </c>
      <c r="H94" s="57" t="str">
        <f ca="1">IFERROR(VLOOKUP(DB_TBL_DATA_FIELDS[[#This Row],[FIELD_ID]],INDIRECT(DB_TBL_DATA_FIELDS[[#This Row],[SHEET_REF_CALC]]&amp;"!A:B"),2,FALSE),"")</f>
        <v/>
      </c>
      <c r="I94" s="57"/>
      <c r="J94" s="55" t="b">
        <f ca="1">(DB_TBL_DATA_FIELDS[[#This Row],[FIELD_VALUE_RAW]]="")</f>
        <v>1</v>
      </c>
      <c r="K94" s="55" t="s">
        <v>209</v>
      </c>
      <c r="L94" s="53" t="b">
        <f>AND(IF(DB_TBL_DATA_FIELDS[[#This Row],[FIELD_VALID_CUSTOM_LOGIC]]="",TRUE,DB_TBL_DATA_FIELDS[[#This Row],[FIELD_VALID_CUSTOM_LOGIC]]),DB_TBL_DATA_FIELDS[[#This Row],[RANGE_VALIDATION_PASSED_FLAG]])</f>
        <v>1</v>
      </c>
      <c r="M94" s="57"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94" s="53">
        <f ca="1">IF(DB_TBL_DATA_FIELDS[[#This Row],[SHEET_REF_CALC]]="","",IF(DB_TBL_DATA_FIELDS[[#This Row],[FIELD_EMPTY_FLAG]],IF(NOT(DB_TBL_DATA_FIELDS[[#This Row],[FIELD_REQ_FLAG]]),-1,1),IF(NOT(DB_TBL_DATA_FIELDS[[#This Row],[FIELD_VALID_FLAG]]),0,2)))</f>
        <v>1</v>
      </c>
      <c r="O94" s="53" t="str">
        <f ca="1">IFERROR(VLOOKUP(DB_TBL_DATA_FIELDS[[#This Row],[FIELD_STATUS_CODE]],DB_TBL_CONFIG_FIELDSTATUSCODES[#All],3,FALSE),"")</f>
        <v>Required</v>
      </c>
      <c r="P94" s="53" t="str">
        <f ca="1">IFERROR(VLOOKUP(DB_TBL_DATA_FIELDS[[#This Row],[FIELD_STATUS_CODE]],DB_TBL_CONFIG_FIELDSTATUSCODES[#All],4,FALSE),"")</f>
        <v>i</v>
      </c>
      <c r="Q94" s="53" t="b">
        <f>TRUE</f>
        <v>1</v>
      </c>
      <c r="R94" s="53" t="b">
        <v>0</v>
      </c>
      <c r="S94" s="52"/>
      <c r="T94" s="53">
        <f ca="1">IF(DB_TBL_DATA_FIELDS[[#This Row],[RANGE_VALIDATION_FLAG]]="Text",LEN(DB_TBL_DATA_FIELDS[[#This Row],[FIELD_VALUE_RAW]]),IFERROR(VALUE(DB_TBL_DATA_FIELDS[[#This Row],[FIELD_VALUE_RAW]]),-1))</f>
        <v>-1</v>
      </c>
      <c r="U94" s="53">
        <v>0</v>
      </c>
      <c r="V94" s="83">
        <v>1</v>
      </c>
      <c r="W94" s="53" t="b">
        <f>IF(NOT(DB_TBL_DATA_FIELDS[[#This Row],[RANGE_VALIDATION_ON_FLAG]]),TRUE,
AND(DB_TBL_DATA_FIELDS[[#This Row],[RANGE_VALUE_LEN]]&gt;=DB_TBL_DATA_FIELDS[[#This Row],[RANGE_VALIDATION_MIN]],DB_TBL_DATA_FIELDS[[#This Row],[RANGE_VALUE_LEN]]&lt;=DB_TBL_DATA_FIELDS[[#This Row],[RANGE_VALIDATION_MAX]]))</f>
        <v>1</v>
      </c>
      <c r="X94" s="8">
        <v>1</v>
      </c>
      <c r="Y94" s="53">
        <f ca="1">IF(DB_TBL_DATA_FIELDS[[#This Row],[PCT_CALC_SHOW_STATUS_CODE]]=1,
DB_TBL_DATA_FIELDS[[#This Row],[FIELD_STATUS_CODE]],
IF(AND(DB_TBL_DATA_FIELDS[[#This Row],[PCT_CALC_SHOW_STATUS_CODE]]=2,DB_TBL_DATA_FIELDS[[#This Row],[FIELD_STATUS_CODE]]=0),
DB_TBL_DATA_FIELDS[[#This Row],[FIELD_STATUS_CODE]],
"")
)</f>
        <v>1</v>
      </c>
      <c r="Z94" s="53"/>
      <c r="AA94" s="11" t="s">
        <v>2579</v>
      </c>
      <c r="AB94" s="11" t="s">
        <v>2562</v>
      </c>
      <c r="AC94" s="53"/>
    </row>
    <row r="95" spans="1:29" x14ac:dyDescent="0.2">
      <c r="A95" s="4"/>
      <c r="B95" s="4" t="s">
        <v>64</v>
      </c>
      <c r="C95" s="16" t="str">
        <f ca="1">IF($H$10&lt;&gt;"R",IF(DB_TBL_DATA_FIELDS[[#This Row],[SHEET_REF_OWNER]]&lt;&gt;"",DB_TBL_DATA_FIELDS[[#This Row],[SHEET_REF_OWNER]],""),IF(DB_TBL_DATA_FIELDS[[#This Row],[SHEET_REF_RENTAL]]&lt;&gt;"",DB_TBL_DATA_FIELDS[[#This Row],[SHEET_REF_RENTAL]],""))</f>
        <v>RentalApp</v>
      </c>
      <c r="D95" s="89" t="s">
        <v>2537</v>
      </c>
      <c r="E95" s="4" t="b">
        <v>1</v>
      </c>
      <c r="F95" s="54" t="b">
        <v>1</v>
      </c>
      <c r="G95" s="6" t="s">
        <v>3724</v>
      </c>
      <c r="H95" s="11" t="str">
        <f ca="1">IFERROR(VLOOKUP(DB_TBL_DATA_FIELDS[[#This Row],[FIELD_ID]],INDIRECT(DB_TBL_DATA_FIELDS[[#This Row],[SHEET_REF_CALC]]&amp;"!A:B"),2,FALSE),"")</f>
        <v/>
      </c>
      <c r="I95" s="11"/>
      <c r="J95" s="6" t="b">
        <f ca="1">(DB_TBL_DATA_FIELDS[[#This Row],[FIELD_VALUE_RAW]]="")</f>
        <v>1</v>
      </c>
      <c r="K95" s="6" t="s">
        <v>209</v>
      </c>
      <c r="L95" s="8" t="b">
        <f>AND(IF(DB_TBL_DATA_FIELDS[[#This Row],[FIELD_VALID_CUSTOM_LOGIC]]="",TRUE,DB_TBL_DATA_FIELDS[[#This Row],[FIELD_VALID_CUSTOM_LOGIC]]),DB_TBL_DATA_FIELDS[[#This Row],[RANGE_VALIDATION_PASSED_FLAG]])</f>
        <v>1</v>
      </c>
      <c r="M95"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95" s="8">
        <f ca="1">IF(DB_TBL_DATA_FIELDS[[#This Row],[SHEET_REF_CALC]]="","",IF(DB_TBL_DATA_FIELDS[[#This Row],[FIELD_EMPTY_FLAG]],IF(NOT(DB_TBL_DATA_FIELDS[[#This Row],[FIELD_REQ_FLAG]]),-1,1),IF(NOT(DB_TBL_DATA_FIELDS[[#This Row],[FIELD_VALID_FLAG]]),0,2)))</f>
        <v>1</v>
      </c>
      <c r="O95" s="8" t="str">
        <f ca="1">IFERROR(VLOOKUP(DB_TBL_DATA_FIELDS[[#This Row],[FIELD_STATUS_CODE]],DB_TBL_CONFIG_FIELDSTATUSCODES[#All],3,FALSE),"")</f>
        <v>Required</v>
      </c>
      <c r="P95" s="8" t="str">
        <f ca="1">IFERROR(VLOOKUP(DB_TBL_DATA_FIELDS[[#This Row],[FIELD_STATUS_CODE]],DB_TBL_CONFIG_FIELDSTATUSCODES[#All],4,FALSE),"")</f>
        <v>i</v>
      </c>
      <c r="Q95" s="8" t="b">
        <f>TRUE</f>
        <v>1</v>
      </c>
      <c r="R95" s="53" t="b">
        <v>0</v>
      </c>
      <c r="S95" s="4"/>
      <c r="T95" s="8">
        <f ca="1">IF(DB_TBL_DATA_FIELDS[[#This Row],[RANGE_VALIDATION_FLAG]]="Text",LEN(DB_TBL_DATA_FIELDS[[#This Row],[FIELD_VALUE_RAW]]),IFERROR(VALUE(DB_TBL_DATA_FIELDS[[#This Row],[FIELD_VALUE_RAW]]),-1))</f>
        <v>-1</v>
      </c>
      <c r="U95" s="8">
        <v>0</v>
      </c>
      <c r="V95" s="34">
        <v>1</v>
      </c>
      <c r="W95" s="8" t="b">
        <f>IF(NOT(DB_TBL_DATA_FIELDS[[#This Row],[RANGE_VALIDATION_ON_FLAG]]),TRUE,
AND(DB_TBL_DATA_FIELDS[[#This Row],[RANGE_VALUE_LEN]]&gt;=DB_TBL_DATA_FIELDS[[#This Row],[RANGE_VALIDATION_MIN]],DB_TBL_DATA_FIELDS[[#This Row],[RANGE_VALUE_LEN]]&lt;=DB_TBL_DATA_FIELDS[[#This Row],[RANGE_VALIDATION_MAX]]))</f>
        <v>1</v>
      </c>
      <c r="X95" s="8">
        <v>1</v>
      </c>
      <c r="Y95" s="8">
        <f ca="1">IF(DB_TBL_DATA_FIELDS[[#This Row],[PCT_CALC_SHOW_STATUS_CODE]]=1,
DB_TBL_DATA_FIELDS[[#This Row],[FIELD_STATUS_CODE]],
IF(AND(DB_TBL_DATA_FIELDS[[#This Row],[PCT_CALC_SHOW_STATUS_CODE]]=2,DB_TBL_DATA_FIELDS[[#This Row],[FIELD_STATUS_CODE]]=0),
DB_TBL_DATA_FIELDS[[#This Row],[FIELD_STATUS_CODE]],
"")
)</f>
        <v>1</v>
      </c>
      <c r="Z95" s="8"/>
      <c r="AA95" s="11" t="s">
        <v>2580</v>
      </c>
      <c r="AB95" s="11" t="s">
        <v>2562</v>
      </c>
      <c r="AC95" s="8"/>
    </row>
    <row r="96" spans="1:29" x14ac:dyDescent="0.2">
      <c r="A96" s="4"/>
      <c r="B96" s="4" t="s">
        <v>64</v>
      </c>
      <c r="C96" s="16" t="str">
        <f ca="1">IF($H$10&lt;&gt;"R",IF(DB_TBL_DATA_FIELDS[[#This Row],[SHEET_REF_OWNER]]&lt;&gt;"",DB_TBL_DATA_FIELDS[[#This Row],[SHEET_REF_OWNER]],""),IF(DB_TBL_DATA_FIELDS[[#This Row],[SHEET_REF_RENTAL]]&lt;&gt;"",DB_TBL_DATA_FIELDS[[#This Row],[SHEET_REF_RENTAL]],""))</f>
        <v>RentalApp</v>
      </c>
      <c r="D96" s="89" t="s">
        <v>3721</v>
      </c>
      <c r="E96" s="4" t="b">
        <v>1</v>
      </c>
      <c r="F96" s="54" t="b">
        <v>1</v>
      </c>
      <c r="G96" s="6" t="s">
        <v>3722</v>
      </c>
      <c r="H96" s="11" t="str">
        <f ca="1">IFERROR(VLOOKUP(DB_TBL_DATA_FIELDS[[#This Row],[FIELD_ID]],INDIRECT(DB_TBL_DATA_FIELDS[[#This Row],[SHEET_REF_CALC]]&amp;"!A:B"),2,FALSE),"")</f>
        <v/>
      </c>
      <c r="I96" s="11"/>
      <c r="J96" s="6" t="b">
        <f ca="1">(DB_TBL_DATA_FIELDS[[#This Row],[FIELD_VALUE_RAW]]="")</f>
        <v>1</v>
      </c>
      <c r="K96" s="6" t="s">
        <v>209</v>
      </c>
      <c r="L96" s="8" t="b">
        <f>AND(IF(DB_TBL_DATA_FIELDS[[#This Row],[FIELD_VALID_CUSTOM_LOGIC]]="",TRUE,DB_TBL_DATA_FIELDS[[#This Row],[FIELD_VALID_CUSTOM_LOGIC]]),DB_TBL_DATA_FIELDS[[#This Row],[RANGE_VALIDATION_PASSED_FLAG]])</f>
        <v>1</v>
      </c>
      <c r="M96"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96" s="8">
        <f ca="1">IF(DB_TBL_DATA_FIELDS[[#This Row],[SHEET_REF_CALC]]="","",IF(DB_TBL_DATA_FIELDS[[#This Row],[FIELD_EMPTY_FLAG]],IF(NOT(DB_TBL_DATA_FIELDS[[#This Row],[FIELD_REQ_FLAG]]),-1,1),IF(NOT(DB_TBL_DATA_FIELDS[[#This Row],[FIELD_VALID_FLAG]]),0,2)))</f>
        <v>1</v>
      </c>
      <c r="O96" s="8" t="str">
        <f ca="1">IFERROR(VLOOKUP(DB_TBL_DATA_FIELDS[[#This Row],[FIELD_STATUS_CODE]],DB_TBL_CONFIG_FIELDSTATUSCODES[#All],3,FALSE),"")</f>
        <v>Required</v>
      </c>
      <c r="P96" s="8" t="str">
        <f ca="1">IFERROR(VLOOKUP(DB_TBL_DATA_FIELDS[[#This Row],[FIELD_STATUS_CODE]],DB_TBL_CONFIG_FIELDSTATUSCODES[#All],4,FALSE),"")</f>
        <v>i</v>
      </c>
      <c r="Q96" s="8" t="b">
        <f>TRUE</f>
        <v>1</v>
      </c>
      <c r="R96" s="53" t="b">
        <v>0</v>
      </c>
      <c r="S96" s="4"/>
      <c r="T96" s="8">
        <f ca="1">IF(DB_TBL_DATA_FIELDS[[#This Row],[RANGE_VALIDATION_FLAG]]="Text",LEN(DB_TBL_DATA_FIELDS[[#This Row],[FIELD_VALUE_RAW]]),IFERROR(VALUE(DB_TBL_DATA_FIELDS[[#This Row],[FIELD_VALUE_RAW]]),-1))</f>
        <v>-1</v>
      </c>
      <c r="U96" s="8">
        <v>0</v>
      </c>
      <c r="V96" s="34">
        <v>1</v>
      </c>
      <c r="W96" s="8" t="b">
        <f>IF(NOT(DB_TBL_DATA_FIELDS[[#This Row],[RANGE_VALIDATION_ON_FLAG]]),TRUE,
AND(DB_TBL_DATA_FIELDS[[#This Row],[RANGE_VALUE_LEN]]&gt;=DB_TBL_DATA_FIELDS[[#This Row],[RANGE_VALIDATION_MIN]],DB_TBL_DATA_FIELDS[[#This Row],[RANGE_VALUE_LEN]]&lt;=DB_TBL_DATA_FIELDS[[#This Row],[RANGE_VALIDATION_MAX]]))</f>
        <v>1</v>
      </c>
      <c r="X96" s="8">
        <v>1</v>
      </c>
      <c r="Y96" s="8">
        <f ca="1">IF(DB_TBL_DATA_FIELDS[[#This Row],[PCT_CALC_SHOW_STATUS_CODE]]=1,
DB_TBL_DATA_FIELDS[[#This Row],[FIELD_STATUS_CODE]],
IF(AND(DB_TBL_DATA_FIELDS[[#This Row],[PCT_CALC_SHOW_STATUS_CODE]]=2,DB_TBL_DATA_FIELDS[[#This Row],[FIELD_STATUS_CODE]]=0),
DB_TBL_DATA_FIELDS[[#This Row],[FIELD_STATUS_CODE]],
"")
)</f>
        <v>1</v>
      </c>
      <c r="Z96" s="8"/>
      <c r="AA96" s="11"/>
      <c r="AB96" s="11" t="s">
        <v>2562</v>
      </c>
      <c r="AC96" s="8" t="s">
        <v>3723</v>
      </c>
    </row>
    <row r="97" spans="1:29" x14ac:dyDescent="0.2">
      <c r="A97" s="4"/>
      <c r="B97" s="4" t="s">
        <v>64</v>
      </c>
      <c r="C97" s="16" t="str">
        <f ca="1">IF($H$10&lt;&gt;"R",IF(DB_TBL_DATA_FIELDS[[#This Row],[SHEET_REF_OWNER]]&lt;&gt;"",DB_TBL_DATA_FIELDS[[#This Row],[SHEET_REF_OWNER]],""),IF(DB_TBL_DATA_FIELDS[[#This Row],[SHEET_REF_RENTAL]]&lt;&gt;"",DB_TBL_DATA_FIELDS[[#This Row],[SHEET_REF_RENTAL]],""))</f>
        <v>RentalApp</v>
      </c>
      <c r="D97" s="89" t="s">
        <v>2602</v>
      </c>
      <c r="E97" s="4" t="b">
        <v>1</v>
      </c>
      <c r="F97" s="25" t="b">
        <v>1</v>
      </c>
      <c r="G97" s="6" t="s">
        <v>2603</v>
      </c>
      <c r="H97" s="11" t="str">
        <f ca="1">IFERROR(VLOOKUP(DB_TBL_DATA_FIELDS[[#This Row],[FIELD_ID]],INDIRECT(DB_TBL_DATA_FIELDS[[#This Row],[SHEET_REF_CALC]]&amp;"!A:B"),2,FALSE),"")</f>
        <v/>
      </c>
      <c r="I97" s="11"/>
      <c r="J97" s="6" t="b">
        <f ca="1">(DB_TBL_DATA_FIELDS[[#This Row],[FIELD_VALUE_RAW]]="")</f>
        <v>1</v>
      </c>
      <c r="K97" s="6" t="s">
        <v>209</v>
      </c>
      <c r="L97" s="8" t="b">
        <f>AND(IF(DB_TBL_DATA_FIELDS[[#This Row],[FIELD_VALID_CUSTOM_LOGIC]]="",TRUE,DB_TBL_DATA_FIELDS[[#This Row],[FIELD_VALID_CUSTOM_LOGIC]]),DB_TBL_DATA_FIELDS[[#This Row],[RANGE_VALIDATION_PASSED_FLAG]])</f>
        <v>1</v>
      </c>
      <c r="M97"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97" s="8">
        <f ca="1">IF(DB_TBL_DATA_FIELDS[[#This Row],[SHEET_REF_CALC]]="","",IF(DB_TBL_DATA_FIELDS[[#This Row],[FIELD_EMPTY_FLAG]],IF(NOT(DB_TBL_DATA_FIELDS[[#This Row],[FIELD_REQ_FLAG]]),-1,1),IF(NOT(DB_TBL_DATA_FIELDS[[#This Row],[FIELD_VALID_FLAG]]),0,2)))</f>
        <v>1</v>
      </c>
      <c r="O97" s="8" t="str">
        <f ca="1">IFERROR(VLOOKUP(DB_TBL_DATA_FIELDS[[#This Row],[FIELD_STATUS_CODE]],DB_TBL_CONFIG_FIELDSTATUSCODES[#All],3,FALSE),"")</f>
        <v>Required</v>
      </c>
      <c r="P97" s="8" t="str">
        <f ca="1">IFERROR(VLOOKUP(DB_TBL_DATA_FIELDS[[#This Row],[FIELD_STATUS_CODE]],DB_TBL_CONFIG_FIELDSTATUSCODES[#All],4,FALSE),"")</f>
        <v>i</v>
      </c>
      <c r="Q97" s="8" t="b">
        <f>TRUE</f>
        <v>1</v>
      </c>
      <c r="R97" s="8" t="b">
        <v>0</v>
      </c>
      <c r="S97" s="4"/>
      <c r="T97" s="8">
        <f ca="1">IF(DB_TBL_DATA_FIELDS[[#This Row],[RANGE_VALIDATION_FLAG]]="Text",LEN(DB_TBL_DATA_FIELDS[[#This Row],[FIELD_VALUE_RAW]]),IFERROR(VALUE(DB_TBL_DATA_FIELDS[[#This Row],[FIELD_VALUE_RAW]]),-1))</f>
        <v>-1</v>
      </c>
      <c r="U97" s="8">
        <v>0</v>
      </c>
      <c r="V97" s="34">
        <v>1</v>
      </c>
      <c r="W97" s="8" t="b">
        <f>IF(NOT(DB_TBL_DATA_FIELDS[[#This Row],[RANGE_VALIDATION_ON_FLAG]]),TRUE,
AND(DB_TBL_DATA_FIELDS[[#This Row],[RANGE_VALUE_LEN]]&gt;=DB_TBL_DATA_FIELDS[[#This Row],[RANGE_VALIDATION_MIN]],DB_TBL_DATA_FIELDS[[#This Row],[RANGE_VALUE_LEN]]&lt;=DB_TBL_DATA_FIELDS[[#This Row],[RANGE_VALIDATION_MAX]]))</f>
        <v>1</v>
      </c>
      <c r="X97" s="8">
        <v>1</v>
      </c>
      <c r="Y97" s="8">
        <f ca="1">IF(DB_TBL_DATA_FIELDS[[#This Row],[PCT_CALC_SHOW_STATUS_CODE]]=1,
DB_TBL_DATA_FIELDS[[#This Row],[FIELD_STATUS_CODE]],
IF(AND(DB_TBL_DATA_FIELDS[[#This Row],[PCT_CALC_SHOW_STATUS_CODE]]=2,DB_TBL_DATA_FIELDS[[#This Row],[FIELD_STATUS_CODE]]=0),
DB_TBL_DATA_FIELDS[[#This Row],[FIELD_STATUS_CODE]],
"")
)</f>
        <v>1</v>
      </c>
      <c r="Z97" s="8"/>
      <c r="AA97" s="11" t="s">
        <v>2581</v>
      </c>
      <c r="AB97" s="11" t="s">
        <v>2562</v>
      </c>
      <c r="AC97" s="8" t="s">
        <v>2605</v>
      </c>
    </row>
    <row r="98" spans="1:29" x14ac:dyDescent="0.2">
      <c r="A98" s="4"/>
      <c r="B98" s="4" t="s">
        <v>64</v>
      </c>
      <c r="C98" s="16" t="str">
        <f ca="1">IF($H$10&lt;&gt;"R",IF(DB_TBL_DATA_FIELDS[[#This Row],[SHEET_REF_OWNER]]&lt;&gt;"",DB_TBL_DATA_FIELDS[[#This Row],[SHEET_REF_OWNER]],""),IF(DB_TBL_DATA_FIELDS[[#This Row],[SHEET_REF_RENTAL]]&lt;&gt;"",DB_TBL_DATA_FIELDS[[#This Row],[SHEET_REF_RENTAL]],""))</f>
        <v>RentalApp</v>
      </c>
      <c r="D98" s="89" t="s">
        <v>3727</v>
      </c>
      <c r="E98" s="4" t="b">
        <v>1</v>
      </c>
      <c r="F98" s="25" t="b">
        <v>1</v>
      </c>
      <c r="G98" s="6" t="s">
        <v>3729</v>
      </c>
      <c r="H98" s="397" t="str">
        <f ca="1">IFERROR(VLOOKUP(DB_TBL_DATA_FIELDS[[#This Row],[FIELD_ID]],INDIRECT(DB_TBL_DATA_FIELDS[[#This Row],[SHEET_REF_CALC]]&amp;"!A:B"),2,FALSE),"")</f>
        <v/>
      </c>
      <c r="I98" s="397"/>
      <c r="J98" s="396" t="b">
        <f ca="1">(DB_TBL_DATA_FIELDS[[#This Row],[FIELD_VALUE_RAW]]="")</f>
        <v>1</v>
      </c>
      <c r="K98" s="6" t="s">
        <v>209</v>
      </c>
      <c r="L98" s="398" t="b">
        <f>AND(IF(DB_TBL_DATA_FIELDS[[#This Row],[FIELD_VALID_CUSTOM_LOGIC]]="",TRUE,DB_TBL_DATA_FIELDS[[#This Row],[FIELD_VALID_CUSTOM_LOGIC]]),DB_TBL_DATA_FIELDS[[#This Row],[RANGE_VALIDATION_PASSED_FLAG]])</f>
        <v>1</v>
      </c>
      <c r="M98" s="397"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98" s="398">
        <f ca="1">IF(DB_TBL_DATA_FIELDS[[#This Row],[SHEET_REF_CALC]]="","",IF(DB_TBL_DATA_FIELDS[[#This Row],[FIELD_EMPTY_FLAG]],IF(NOT(DB_TBL_DATA_FIELDS[[#This Row],[FIELD_REQ_FLAG]]),-1,1),IF(NOT(DB_TBL_DATA_FIELDS[[#This Row],[FIELD_VALID_FLAG]]),0,2)))</f>
        <v>1</v>
      </c>
      <c r="O98" s="398" t="str">
        <f ca="1">IFERROR(VLOOKUP(DB_TBL_DATA_FIELDS[[#This Row],[FIELD_STATUS_CODE]],DB_TBL_CONFIG_FIELDSTATUSCODES[#All],3,FALSE),"")</f>
        <v>Required</v>
      </c>
      <c r="P98" s="398" t="str">
        <f ca="1">IFERROR(VLOOKUP(DB_TBL_DATA_FIELDS[[#This Row],[FIELD_STATUS_CODE]],DB_TBL_CONFIG_FIELDSTATUSCODES[#All],4,FALSE),"")</f>
        <v>i</v>
      </c>
      <c r="Q98" s="398" t="b">
        <f>TRUE</f>
        <v>1</v>
      </c>
      <c r="R98" s="8" t="b">
        <v>0</v>
      </c>
      <c r="S98" s="395"/>
      <c r="T98" s="398">
        <f ca="1">IF(DB_TBL_DATA_FIELDS[[#This Row],[RANGE_VALIDATION_FLAG]]="Text",LEN(DB_TBL_DATA_FIELDS[[#This Row],[FIELD_VALUE_RAW]]),IFERROR(VALUE(DB_TBL_DATA_FIELDS[[#This Row],[FIELD_VALUE_RAW]]),-1))</f>
        <v>-1</v>
      </c>
      <c r="U98" s="8">
        <v>0</v>
      </c>
      <c r="V98" s="34">
        <v>1</v>
      </c>
      <c r="W98" s="398" t="b">
        <f>IF(NOT(DB_TBL_DATA_FIELDS[[#This Row],[RANGE_VALIDATION_ON_FLAG]]),TRUE,
AND(DB_TBL_DATA_FIELDS[[#This Row],[RANGE_VALUE_LEN]]&gt;=DB_TBL_DATA_FIELDS[[#This Row],[RANGE_VALIDATION_MIN]],DB_TBL_DATA_FIELDS[[#This Row],[RANGE_VALUE_LEN]]&lt;=DB_TBL_DATA_FIELDS[[#This Row],[RANGE_VALIDATION_MAX]]))</f>
        <v>1</v>
      </c>
      <c r="X98" s="398">
        <v>1</v>
      </c>
      <c r="Y98" s="398">
        <f ca="1">IF(DB_TBL_DATA_FIELDS[[#This Row],[PCT_CALC_SHOW_STATUS_CODE]]=1,
DB_TBL_DATA_FIELDS[[#This Row],[FIELD_STATUS_CODE]],
IF(AND(DB_TBL_DATA_FIELDS[[#This Row],[PCT_CALC_SHOW_STATUS_CODE]]=2,DB_TBL_DATA_FIELDS[[#This Row],[FIELD_STATUS_CODE]]=0),
DB_TBL_DATA_FIELDS[[#This Row],[FIELD_STATUS_CODE]],
"")
)</f>
        <v>1</v>
      </c>
      <c r="Z98" s="398"/>
      <c r="AA98" s="397"/>
      <c r="AB98" s="11" t="s">
        <v>2562</v>
      </c>
      <c r="AC98" s="8" t="s">
        <v>3723</v>
      </c>
    </row>
    <row r="99" spans="1:29" x14ac:dyDescent="0.2">
      <c r="A99" s="4"/>
      <c r="B99" s="4" t="s">
        <v>64</v>
      </c>
      <c r="C99" s="16" t="str">
        <f ca="1">IF($H$10&lt;&gt;"R",IF(DB_TBL_DATA_FIELDS[[#This Row],[SHEET_REF_OWNER]]&lt;&gt;"",DB_TBL_DATA_FIELDS[[#This Row],[SHEET_REF_OWNER]],""),IF(DB_TBL_DATA_FIELDS[[#This Row],[SHEET_REF_RENTAL]]&lt;&gt;"",DB_TBL_DATA_FIELDS[[#This Row],[SHEET_REF_RENTAL]],""))</f>
        <v>RentalApp</v>
      </c>
      <c r="D99" s="89" t="s">
        <v>3728</v>
      </c>
      <c r="E99" s="4" t="b">
        <v>1</v>
      </c>
      <c r="F99" s="25" t="b">
        <v>1</v>
      </c>
      <c r="G99" s="6" t="s">
        <v>3730</v>
      </c>
      <c r="H99" s="397" t="str">
        <f ca="1">IFERROR(VLOOKUP(DB_TBL_DATA_FIELDS[[#This Row],[FIELD_ID]],INDIRECT(DB_TBL_DATA_FIELDS[[#This Row],[SHEET_REF_CALC]]&amp;"!A:B"),2,FALSE),"")</f>
        <v/>
      </c>
      <c r="I99" s="397"/>
      <c r="J99" s="396" t="b">
        <f ca="1">(DB_TBL_DATA_FIELDS[[#This Row],[FIELD_VALUE_RAW]]="")</f>
        <v>1</v>
      </c>
      <c r="K99" s="6" t="s">
        <v>209</v>
      </c>
      <c r="L99" s="398" t="b">
        <f>AND(IF(DB_TBL_DATA_FIELDS[[#This Row],[FIELD_VALID_CUSTOM_LOGIC]]="",TRUE,DB_TBL_DATA_FIELDS[[#This Row],[FIELD_VALID_CUSTOM_LOGIC]]),DB_TBL_DATA_FIELDS[[#This Row],[RANGE_VALIDATION_PASSED_FLAG]])</f>
        <v>1</v>
      </c>
      <c r="M99" s="397"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99" s="398">
        <f ca="1">IF(DB_TBL_DATA_FIELDS[[#This Row],[SHEET_REF_CALC]]="","",IF(DB_TBL_DATA_FIELDS[[#This Row],[FIELD_EMPTY_FLAG]],IF(NOT(DB_TBL_DATA_FIELDS[[#This Row],[FIELD_REQ_FLAG]]),-1,1),IF(NOT(DB_TBL_DATA_FIELDS[[#This Row],[FIELD_VALID_FLAG]]),0,2)))</f>
        <v>1</v>
      </c>
      <c r="O99" s="398" t="str">
        <f ca="1">IFERROR(VLOOKUP(DB_TBL_DATA_FIELDS[[#This Row],[FIELD_STATUS_CODE]],DB_TBL_CONFIG_FIELDSTATUSCODES[#All],3,FALSE),"")</f>
        <v>Required</v>
      </c>
      <c r="P99" s="398" t="str">
        <f ca="1">IFERROR(VLOOKUP(DB_TBL_DATA_FIELDS[[#This Row],[FIELD_STATUS_CODE]],DB_TBL_CONFIG_FIELDSTATUSCODES[#All],4,FALSE),"")</f>
        <v>i</v>
      </c>
      <c r="Q99" s="398" t="b">
        <f>TRUE</f>
        <v>1</v>
      </c>
      <c r="R99" s="8" t="b">
        <v>0</v>
      </c>
      <c r="S99" s="395"/>
      <c r="T99" s="398">
        <f ca="1">IF(DB_TBL_DATA_FIELDS[[#This Row],[RANGE_VALIDATION_FLAG]]="Text",LEN(DB_TBL_DATA_FIELDS[[#This Row],[FIELD_VALUE_RAW]]),IFERROR(VALUE(DB_TBL_DATA_FIELDS[[#This Row],[FIELD_VALUE_RAW]]),-1))</f>
        <v>-1</v>
      </c>
      <c r="U99" s="8">
        <v>0</v>
      </c>
      <c r="V99" s="34">
        <v>1</v>
      </c>
      <c r="W99" s="398" t="b">
        <f>IF(NOT(DB_TBL_DATA_FIELDS[[#This Row],[RANGE_VALIDATION_ON_FLAG]]),TRUE,
AND(DB_TBL_DATA_FIELDS[[#This Row],[RANGE_VALUE_LEN]]&gt;=DB_TBL_DATA_FIELDS[[#This Row],[RANGE_VALIDATION_MIN]],DB_TBL_DATA_FIELDS[[#This Row],[RANGE_VALUE_LEN]]&lt;=DB_TBL_DATA_FIELDS[[#This Row],[RANGE_VALIDATION_MAX]]))</f>
        <v>1</v>
      </c>
      <c r="X99" s="398">
        <v>1</v>
      </c>
      <c r="Y99" s="398">
        <f ca="1">IF(DB_TBL_DATA_FIELDS[[#This Row],[PCT_CALC_SHOW_STATUS_CODE]]=1,
DB_TBL_DATA_FIELDS[[#This Row],[FIELD_STATUS_CODE]],
IF(AND(DB_TBL_DATA_FIELDS[[#This Row],[PCT_CALC_SHOW_STATUS_CODE]]=2,DB_TBL_DATA_FIELDS[[#This Row],[FIELD_STATUS_CODE]]=0),
DB_TBL_DATA_FIELDS[[#This Row],[FIELD_STATUS_CODE]],
"")
)</f>
        <v>1</v>
      </c>
      <c r="Z99" s="398"/>
      <c r="AA99" s="397"/>
      <c r="AB99" s="11" t="s">
        <v>2562</v>
      </c>
      <c r="AC99" s="8" t="s">
        <v>3723</v>
      </c>
    </row>
    <row r="100" spans="1:29" x14ac:dyDescent="0.2">
      <c r="A100" s="4"/>
      <c r="B100" s="4" t="s">
        <v>64</v>
      </c>
      <c r="C100" s="16" t="str">
        <f ca="1">IF($H$10&lt;&gt;"R",IF(DB_TBL_DATA_FIELDS[[#This Row],[SHEET_REF_OWNER]]&lt;&gt;"",DB_TBL_DATA_FIELDS[[#This Row],[SHEET_REF_OWNER]],""),IF(DB_TBL_DATA_FIELDS[[#This Row],[SHEET_REF_RENTAL]]&lt;&gt;"",DB_TBL_DATA_FIELDS[[#This Row],[SHEET_REF_RENTAL]],""))</f>
        <v>RentalApp</v>
      </c>
      <c r="D100" s="89" t="s">
        <v>2538</v>
      </c>
      <c r="E100" s="4" t="b">
        <v>0</v>
      </c>
      <c r="F100" s="84" t="b">
        <f ca="1">OR($H$95=TRUE,$H$96=TRUE,$H$97=TRUE,$H$98=TRUE,$H$99=TRUE)</f>
        <v>0</v>
      </c>
      <c r="G100" s="6" t="s">
        <v>2558</v>
      </c>
      <c r="H100" s="11" t="str">
        <f ca="1">IFERROR(VLOOKUP(DB_TBL_DATA_FIELDS[[#This Row],[FIELD_ID]],INDIRECT(DB_TBL_DATA_FIELDS[[#This Row],[SHEET_REF_CALC]]&amp;"!A:B"),2,FALSE),"")</f>
        <v/>
      </c>
      <c r="I100" s="29" t="str">
        <f ca="1">IF(DB_TBL_DATA_FIELDS[[#This Row],[FIELD_VALUE_RAW]]="","",DB_TBL_DATA_FIELDS[[#This Row],[FIELD_REQ_FLAG]]=TRUE)</f>
        <v/>
      </c>
      <c r="J100" s="6" t="b">
        <f ca="1">(DB_TBL_DATA_FIELDS[[#This Row],[FIELD_VALUE_RAW]]="")</f>
        <v>1</v>
      </c>
      <c r="K100" s="6" t="s">
        <v>11</v>
      </c>
      <c r="L100" s="8" t="b">
        <f ca="1">AND(IF(DB_TBL_DATA_FIELDS[[#This Row],[FIELD_VALID_CUSTOM_LOGIC]]="",TRUE,DB_TBL_DATA_FIELDS[[#This Row],[FIELD_VALID_CUSTOM_LOGIC]]),DB_TBL_DATA_FIELDS[[#This Row],[RANGE_VALIDATION_PASSED_FLAG]])</f>
        <v>1</v>
      </c>
      <c r="M100"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00" s="8">
        <f ca="1">IF(DB_TBL_DATA_FIELDS[[#This Row],[SHEET_REF_CALC]]="","",IF(DB_TBL_DATA_FIELDS[[#This Row],[FIELD_EMPTY_FLAG]],IF(NOT(DB_TBL_DATA_FIELDS[[#This Row],[FIELD_REQ_FLAG]]),-1,1),IF(NOT(DB_TBL_DATA_FIELDS[[#This Row],[FIELD_VALID_FLAG]]),0,2)))</f>
        <v>-1</v>
      </c>
      <c r="O100" s="8" t="str">
        <f ca="1">IFERROR(VLOOKUP(DB_TBL_DATA_FIELDS[[#This Row],[FIELD_STATUS_CODE]],DB_TBL_CONFIG_FIELDSTATUSCODES[#All],3,FALSE),"")</f>
        <v>Optional</v>
      </c>
      <c r="P100" s="8" t="str">
        <f ca="1">IFERROR(VLOOKUP(DB_TBL_DATA_FIELDS[[#This Row],[FIELD_STATUS_CODE]],DB_TBL_CONFIG_FIELDSTATUSCODES[#All],4,FALSE),"")</f>
        <v xml:space="preserve"> </v>
      </c>
      <c r="Q100" s="8" t="b">
        <f>TRUE</f>
        <v>1</v>
      </c>
      <c r="R100" s="8" t="b">
        <f>TRUE</f>
        <v>1</v>
      </c>
      <c r="S100" s="4" t="s">
        <v>11</v>
      </c>
      <c r="T100" s="8">
        <f ca="1">IF(DB_TBL_DATA_FIELDS[[#This Row],[RANGE_VALIDATION_FLAG]]="Text",LEN(DB_TBL_DATA_FIELDS[[#This Row],[FIELD_VALUE_RAW]]),IFERROR(VALUE(DB_TBL_DATA_FIELDS[[#This Row],[FIELD_VALUE_RAW]]),-1))</f>
        <v>0</v>
      </c>
      <c r="U100" s="8">
        <v>0</v>
      </c>
      <c r="V100" s="101">
        <f>CONFIG_CHAR_LIMIT_SMALL</f>
        <v>1000</v>
      </c>
      <c r="W100" s="8" t="b">
        <f ca="1">IF(NOT(DB_TBL_DATA_FIELDS[[#This Row],[RANGE_VALIDATION_ON_FLAG]]),TRUE,
AND(DB_TBL_DATA_FIELDS[[#This Row],[RANGE_VALUE_LEN]]&gt;=DB_TBL_DATA_FIELDS[[#This Row],[RANGE_VALIDATION_MIN]],DB_TBL_DATA_FIELDS[[#This Row],[RANGE_VALUE_LEN]]&lt;=DB_TBL_DATA_FIELDS[[#This Row],[RANGE_VALIDATION_MAX]]))</f>
        <v>1</v>
      </c>
      <c r="X100" s="8">
        <v>1</v>
      </c>
      <c r="Y100" s="8">
        <f ca="1">IF(DB_TBL_DATA_FIELDS[[#This Row],[PCT_CALC_SHOW_STATUS_CODE]]=1,
DB_TBL_DATA_FIELDS[[#This Row],[FIELD_STATUS_CODE]],
IF(AND(DB_TBL_DATA_FIELDS[[#This Row],[PCT_CALC_SHOW_STATUS_CODE]]=2,DB_TBL_DATA_FIELDS[[#This Row],[FIELD_STATUS_CODE]]=0),
DB_TBL_DATA_FIELDS[[#This Row],[FIELD_STATUS_CODE]],
"")
)</f>
        <v>-1</v>
      </c>
      <c r="Z100" s="8"/>
      <c r="AA100" s="11" t="s">
        <v>2604</v>
      </c>
      <c r="AB100" s="11" t="s">
        <v>2562</v>
      </c>
      <c r="AC100" s="8"/>
    </row>
    <row r="101" spans="1:29" x14ac:dyDescent="0.2">
      <c r="A101" s="4" t="s">
        <v>65</v>
      </c>
      <c r="B101" s="4"/>
      <c r="C101" s="16" t="str">
        <f ca="1">IF($H$10&lt;&gt;"R",IF(DB_TBL_DATA_FIELDS[[#This Row],[SHEET_REF_OWNER]]&lt;&gt;"",DB_TBL_DATA_FIELDS[[#This Row],[SHEET_REF_OWNER]],""),IF(DB_TBL_DATA_FIELDS[[#This Row],[SHEET_REF_RENTAL]]&lt;&gt;"",DB_TBL_DATA_FIELDS[[#This Row],[SHEET_REF_RENTAL]],""))</f>
        <v/>
      </c>
      <c r="D101" s="89" t="s">
        <v>3511</v>
      </c>
      <c r="E101" s="4" t="b">
        <v>0</v>
      </c>
      <c r="F101" s="25" t="b">
        <v>1</v>
      </c>
      <c r="G101" s="6" t="s">
        <v>3513</v>
      </c>
      <c r="H101" s="11" t="str">
        <f ca="1">IFERROR(VLOOKUP(DB_TBL_DATA_FIELDS[[#This Row],[FIELD_ID]],INDIRECT(DB_TBL_DATA_FIELDS[[#This Row],[SHEET_REF_CALC]]&amp;"!A:B"),2,FALSE),"")</f>
        <v/>
      </c>
      <c r="I101" s="11"/>
      <c r="J101" s="6" t="b">
        <f ca="1">(DB_TBL_DATA_FIELDS[[#This Row],[FIELD_VALUE_RAW]]="")</f>
        <v>1</v>
      </c>
      <c r="K101" s="6" t="s">
        <v>209</v>
      </c>
      <c r="L101" s="8" t="b">
        <f>AND(IF(DB_TBL_DATA_FIELDS[[#This Row],[FIELD_VALID_CUSTOM_LOGIC]]="",TRUE,DB_TBL_DATA_FIELDS[[#This Row],[FIELD_VALID_CUSTOM_LOGIC]]),DB_TBL_DATA_FIELDS[[#This Row],[RANGE_VALIDATION_PASSED_FLAG]])</f>
        <v>1</v>
      </c>
      <c r="M101"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01" s="8" t="str">
        <f ca="1">IF(DB_TBL_DATA_FIELDS[[#This Row],[SHEET_REF_CALC]]="","",IF(DB_TBL_DATA_FIELDS[[#This Row],[FIELD_EMPTY_FLAG]],IF(NOT(DB_TBL_DATA_FIELDS[[#This Row],[FIELD_REQ_FLAG]]),-1,1),IF(NOT(DB_TBL_DATA_FIELDS[[#This Row],[FIELD_VALID_FLAG]]),0,2)))</f>
        <v/>
      </c>
      <c r="O101" s="8" t="str">
        <f ca="1">IFERROR(VLOOKUP(DB_TBL_DATA_FIELDS[[#This Row],[FIELD_STATUS_CODE]],DB_TBL_CONFIG_FIELDSTATUSCODES[#All],3,FALSE),"")</f>
        <v/>
      </c>
      <c r="P101" s="8" t="str">
        <f ca="1">IFERROR(VLOOKUP(DB_TBL_DATA_FIELDS[[#This Row],[FIELD_STATUS_CODE]],DB_TBL_CONFIG_FIELDSTATUSCODES[#All],4,FALSE),"")</f>
        <v/>
      </c>
      <c r="Q101" s="8" t="b">
        <f>TRUE</f>
        <v>1</v>
      </c>
      <c r="R101" s="8" t="b">
        <v>0</v>
      </c>
      <c r="S101" s="4"/>
      <c r="T101" s="8">
        <f ca="1">IF(DB_TBL_DATA_FIELDS[[#This Row],[RANGE_VALIDATION_FLAG]]="Text",LEN(DB_TBL_DATA_FIELDS[[#This Row],[FIELD_VALUE_RAW]]),IFERROR(VALUE(DB_TBL_DATA_FIELDS[[#This Row],[FIELD_VALUE_RAW]]),-1))</f>
        <v>-1</v>
      </c>
      <c r="U101" s="8">
        <v>0</v>
      </c>
      <c r="V101" s="34">
        <v>1</v>
      </c>
      <c r="W101" s="8" t="b">
        <f>IF(NOT(DB_TBL_DATA_FIELDS[[#This Row],[RANGE_VALIDATION_ON_FLAG]]),TRUE,
AND(DB_TBL_DATA_FIELDS[[#This Row],[RANGE_VALUE_LEN]]&gt;=DB_TBL_DATA_FIELDS[[#This Row],[RANGE_VALIDATION_MIN]],DB_TBL_DATA_FIELDS[[#This Row],[RANGE_VALUE_LEN]]&lt;=DB_TBL_DATA_FIELDS[[#This Row],[RANGE_VALIDATION_MAX]]))</f>
        <v>1</v>
      </c>
      <c r="X101" s="8">
        <v>1</v>
      </c>
      <c r="Y101" s="8" t="str">
        <f ca="1">IF(DB_TBL_DATA_FIELDS[[#This Row],[PCT_CALC_SHOW_STATUS_CODE]]=1,
DB_TBL_DATA_FIELDS[[#This Row],[FIELD_STATUS_CODE]],
IF(AND(DB_TBL_DATA_FIELDS[[#This Row],[PCT_CALC_SHOW_STATUS_CODE]]=2,DB_TBL_DATA_FIELDS[[#This Row],[FIELD_STATUS_CODE]]=0),
DB_TBL_DATA_FIELDS[[#This Row],[FIELD_STATUS_CODE]],
"")
)</f>
        <v/>
      </c>
      <c r="Z101" s="8"/>
      <c r="AA101" s="11"/>
      <c r="AB101" s="11" t="s">
        <v>2562</v>
      </c>
      <c r="AC101" s="8" t="s">
        <v>3509</v>
      </c>
    </row>
    <row r="102" spans="1:29" x14ac:dyDescent="0.2">
      <c r="A102" s="4" t="s">
        <v>65</v>
      </c>
      <c r="B102" s="4"/>
      <c r="C102" s="16" t="str">
        <f ca="1">IF($H$10&lt;&gt;"R",IF(DB_TBL_DATA_FIELDS[[#This Row],[SHEET_REF_OWNER]]&lt;&gt;"",DB_TBL_DATA_FIELDS[[#This Row],[SHEET_REF_OWNER]],""),IF(DB_TBL_DATA_FIELDS[[#This Row],[SHEET_REF_RENTAL]]&lt;&gt;"",DB_TBL_DATA_FIELDS[[#This Row],[SHEET_REF_RENTAL]],""))</f>
        <v/>
      </c>
      <c r="D102" s="89" t="s">
        <v>3512</v>
      </c>
      <c r="E102" s="4" t="b">
        <v>0</v>
      </c>
      <c r="F102" s="84" t="b">
        <f ca="1">AND($H$101&lt;&gt;"",$H$101=TRUE)</f>
        <v>0</v>
      </c>
      <c r="G102" s="6" t="s">
        <v>3514</v>
      </c>
      <c r="H102" s="11" t="str">
        <f ca="1">IFERROR(VLOOKUP(DB_TBL_DATA_FIELDS[[#This Row],[FIELD_ID]],INDIRECT(DB_TBL_DATA_FIELDS[[#This Row],[SHEET_REF_CALC]]&amp;"!A:B"),2,FALSE),"")</f>
        <v/>
      </c>
      <c r="I102" s="29" t="str">
        <f ca="1">IF(DB_TBL_DATA_FIELDS[[#This Row],[FIELD_VALUE_RAW]]="","",H101=TRUE)</f>
        <v/>
      </c>
      <c r="J102" s="6" t="b">
        <f ca="1">(DB_TBL_DATA_FIELDS[[#This Row],[FIELD_VALUE_RAW]]="")</f>
        <v>1</v>
      </c>
      <c r="K102" s="6" t="s">
        <v>11</v>
      </c>
      <c r="L102" s="8" t="b">
        <f ca="1">AND(IF(DB_TBL_DATA_FIELDS[[#This Row],[FIELD_VALID_CUSTOM_LOGIC]]="",TRUE,DB_TBL_DATA_FIELDS[[#This Row],[FIELD_VALID_CUSTOM_LOGIC]]),DB_TBL_DATA_FIELDS[[#This Row],[RANGE_VALIDATION_PASSED_FLAG]])</f>
        <v>1</v>
      </c>
      <c r="M102"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02" s="8" t="str">
        <f ca="1">IF(DB_TBL_DATA_FIELDS[[#This Row],[SHEET_REF_CALC]]="","",IF(DB_TBL_DATA_FIELDS[[#This Row],[FIELD_EMPTY_FLAG]],IF(NOT(DB_TBL_DATA_FIELDS[[#This Row],[FIELD_REQ_FLAG]]),-1,1),IF(NOT(DB_TBL_DATA_FIELDS[[#This Row],[FIELD_VALID_FLAG]]),0,2)))</f>
        <v/>
      </c>
      <c r="O102" s="8" t="str">
        <f ca="1">IFERROR(VLOOKUP(DB_TBL_DATA_FIELDS[[#This Row],[FIELD_STATUS_CODE]],DB_TBL_CONFIG_FIELDSTATUSCODES[#All],3,FALSE),"")</f>
        <v/>
      </c>
      <c r="P102" s="8" t="str">
        <f ca="1">IFERROR(VLOOKUP(DB_TBL_DATA_FIELDS[[#This Row],[FIELD_STATUS_CODE]],DB_TBL_CONFIG_FIELDSTATUSCODES[#All],4,FALSE),"")</f>
        <v/>
      </c>
      <c r="Q102" s="8" t="b">
        <f>TRUE</f>
        <v>1</v>
      </c>
      <c r="R102" s="8" t="b">
        <f>TRUE</f>
        <v>1</v>
      </c>
      <c r="S102" s="4" t="s">
        <v>11</v>
      </c>
      <c r="T102" s="8">
        <f ca="1">IF(DB_TBL_DATA_FIELDS[[#This Row],[RANGE_VALIDATION_FLAG]]="Text",LEN(DB_TBL_DATA_FIELDS[[#This Row],[FIELD_VALUE_RAW]]),IFERROR(VALUE(DB_TBL_DATA_FIELDS[[#This Row],[FIELD_VALUE_RAW]]),-1))</f>
        <v>0</v>
      </c>
      <c r="U102" s="8">
        <v>0</v>
      </c>
      <c r="V102" s="101">
        <f>CONFIG_CHAR_LIMIT_SMALL</f>
        <v>1000</v>
      </c>
      <c r="W102" s="8" t="b">
        <f ca="1">IF(NOT(DB_TBL_DATA_FIELDS[[#This Row],[RANGE_VALIDATION_ON_FLAG]]),TRUE,
AND(DB_TBL_DATA_FIELDS[[#This Row],[RANGE_VALUE_LEN]]&gt;=DB_TBL_DATA_FIELDS[[#This Row],[RANGE_VALIDATION_MIN]],DB_TBL_DATA_FIELDS[[#This Row],[RANGE_VALUE_LEN]]&lt;=DB_TBL_DATA_FIELDS[[#This Row],[RANGE_VALIDATION_MAX]]))</f>
        <v>1</v>
      </c>
      <c r="X102" s="8">
        <v>1</v>
      </c>
      <c r="Y102" s="8" t="str">
        <f ca="1">IF(DB_TBL_DATA_FIELDS[[#This Row],[PCT_CALC_SHOW_STATUS_CODE]]=1,
DB_TBL_DATA_FIELDS[[#This Row],[FIELD_STATUS_CODE]],
IF(AND(DB_TBL_DATA_FIELDS[[#This Row],[PCT_CALC_SHOW_STATUS_CODE]]=2,DB_TBL_DATA_FIELDS[[#This Row],[FIELD_STATUS_CODE]]=0),
DB_TBL_DATA_FIELDS[[#This Row],[FIELD_STATUS_CODE]],
"")
)</f>
        <v/>
      </c>
      <c r="Z102" s="8"/>
      <c r="AA102" s="11"/>
      <c r="AB102" s="11" t="s">
        <v>2562</v>
      </c>
      <c r="AC102" s="8" t="s">
        <v>3509</v>
      </c>
    </row>
    <row r="103" spans="1:29" x14ac:dyDescent="0.2">
      <c r="A103" s="4" t="s">
        <v>65</v>
      </c>
      <c r="B103" s="4" t="s">
        <v>64</v>
      </c>
      <c r="C103" s="16" t="str">
        <f ca="1">IF($H$10&lt;&gt;"R",IF(DB_TBL_DATA_FIELDS[[#This Row],[SHEET_REF_OWNER]]&lt;&gt;"",DB_TBL_DATA_FIELDS[[#This Row],[SHEET_REF_OWNER]],""),IF(DB_TBL_DATA_FIELDS[[#This Row],[SHEET_REF_RENTAL]]&lt;&gt;"",DB_TBL_DATA_FIELDS[[#This Row],[SHEET_REF_RENTAL]],""))</f>
        <v>RentalApp</v>
      </c>
      <c r="D103" s="4" t="s">
        <v>2539</v>
      </c>
      <c r="E103" s="4" t="b">
        <v>0</v>
      </c>
      <c r="F103" s="54" t="b">
        <v>1</v>
      </c>
      <c r="G103" s="6" t="s">
        <v>2559</v>
      </c>
      <c r="H103" s="11" t="str">
        <f ca="1">IFERROR(VLOOKUP(DB_TBL_DATA_FIELDS[[#This Row],[FIELD_ID]],INDIRECT(DB_TBL_DATA_FIELDS[[#This Row],[SHEET_REF_CALC]]&amp;"!A:B"),2,FALSE),"")</f>
        <v/>
      </c>
      <c r="I103" s="11"/>
      <c r="J103" s="6" t="b">
        <f ca="1">(DB_TBL_DATA_FIELDS[[#This Row],[FIELD_VALUE_RAW]]="")</f>
        <v>1</v>
      </c>
      <c r="K103" s="6" t="s">
        <v>11</v>
      </c>
      <c r="L103" s="8" t="b">
        <f ca="1">AND(IF(DB_TBL_DATA_FIELDS[[#This Row],[FIELD_VALID_CUSTOM_LOGIC]]="",TRUE,DB_TBL_DATA_FIELDS[[#This Row],[FIELD_VALID_CUSTOM_LOGIC]]),DB_TBL_DATA_FIELDS[[#This Row],[RANGE_VALIDATION_PASSED_FLAG]])</f>
        <v>1</v>
      </c>
      <c r="M103"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03" s="8">
        <f ca="1">IF(DB_TBL_DATA_FIELDS[[#This Row],[SHEET_REF_CALC]]="","",IF(DB_TBL_DATA_FIELDS[[#This Row],[FIELD_EMPTY_FLAG]],IF(NOT(DB_TBL_DATA_FIELDS[[#This Row],[FIELD_REQ_FLAG]]),-1,1),IF(NOT(DB_TBL_DATA_FIELDS[[#This Row],[FIELD_VALID_FLAG]]),0,2)))</f>
        <v>1</v>
      </c>
      <c r="O103" s="8" t="str">
        <f ca="1">IFERROR(VLOOKUP(DB_TBL_DATA_FIELDS[[#This Row],[FIELD_STATUS_CODE]],DB_TBL_CONFIG_FIELDSTATUSCODES[#All],3,FALSE),"")</f>
        <v>Required</v>
      </c>
      <c r="P103" s="8" t="str">
        <f ca="1">IFERROR(VLOOKUP(DB_TBL_DATA_FIELDS[[#This Row],[FIELD_STATUS_CODE]],DB_TBL_CONFIG_FIELDSTATUSCODES[#All],4,FALSE),"")</f>
        <v>i</v>
      </c>
      <c r="Q103" s="8" t="b">
        <f>TRUE</f>
        <v>1</v>
      </c>
      <c r="R103" s="8" t="b">
        <f>TRUE</f>
        <v>1</v>
      </c>
      <c r="S103" s="4" t="s">
        <v>11</v>
      </c>
      <c r="T103" s="8">
        <f ca="1">IF(DB_TBL_DATA_FIELDS[[#This Row],[RANGE_VALIDATION_FLAG]]="Text",LEN(DB_TBL_DATA_FIELDS[[#This Row],[FIELD_VALUE_RAW]]),IFERROR(VALUE(DB_TBL_DATA_FIELDS[[#This Row],[FIELD_VALUE_RAW]]),-1))</f>
        <v>0</v>
      </c>
      <c r="U103" s="8">
        <v>0</v>
      </c>
      <c r="V103" s="101">
        <f>CONFIG_CHAR_LIMIT_LARGE</f>
        <v>2000</v>
      </c>
      <c r="W103" s="8" t="b">
        <f ca="1">IF(NOT(DB_TBL_DATA_FIELDS[[#This Row],[RANGE_VALIDATION_ON_FLAG]]),TRUE,
AND(DB_TBL_DATA_FIELDS[[#This Row],[RANGE_VALUE_LEN]]&gt;=DB_TBL_DATA_FIELDS[[#This Row],[RANGE_VALIDATION_MIN]],DB_TBL_DATA_FIELDS[[#This Row],[RANGE_VALUE_LEN]]&lt;=DB_TBL_DATA_FIELDS[[#This Row],[RANGE_VALIDATION_MAX]]))</f>
        <v>1</v>
      </c>
      <c r="X103" s="8">
        <v>1</v>
      </c>
      <c r="Y103" s="8">
        <f ca="1">IF(DB_TBL_DATA_FIELDS[[#This Row],[PCT_CALC_SHOW_STATUS_CODE]]=1,
DB_TBL_DATA_FIELDS[[#This Row],[FIELD_STATUS_CODE]],
IF(AND(DB_TBL_DATA_FIELDS[[#This Row],[PCT_CALC_SHOW_STATUS_CODE]]=2,DB_TBL_DATA_FIELDS[[#This Row],[FIELD_STATUS_CODE]]=0),
DB_TBL_DATA_FIELDS[[#This Row],[FIELD_STATUS_CODE]],
"")
)</f>
        <v>1</v>
      </c>
      <c r="Z103" s="8"/>
      <c r="AA103" s="11" t="s">
        <v>2582</v>
      </c>
      <c r="AB103" s="11" t="s">
        <v>2562</v>
      </c>
      <c r="AC103" s="8"/>
    </row>
    <row r="104" spans="1:29" ht="13.5" thickBot="1" x14ac:dyDescent="0.25">
      <c r="A104" s="67" t="s">
        <v>65</v>
      </c>
      <c r="B104" s="67" t="s">
        <v>64</v>
      </c>
      <c r="C104" s="69" t="str">
        <f ca="1">IF($H$10&lt;&gt;"R",IF(DB_TBL_DATA_FIELDS[[#This Row],[SHEET_REF_OWNER]]&lt;&gt;"",DB_TBL_DATA_FIELDS[[#This Row],[SHEET_REF_OWNER]],""),IF(DB_TBL_DATA_FIELDS[[#This Row],[SHEET_REF_RENTAL]]&lt;&gt;"",DB_TBL_DATA_FIELDS[[#This Row],[SHEET_REF_RENTAL]],""))</f>
        <v>RentalApp</v>
      </c>
      <c r="D104" s="67" t="s">
        <v>2540</v>
      </c>
      <c r="E104" s="67" t="b">
        <v>0</v>
      </c>
      <c r="F104" s="85" t="b">
        <v>1</v>
      </c>
      <c r="G104" s="72" t="s">
        <v>2560</v>
      </c>
      <c r="H104" s="73" t="str">
        <f ca="1">IFERROR(VLOOKUP(DB_TBL_DATA_FIELDS[[#This Row],[FIELD_ID]],INDIRECT(DB_TBL_DATA_FIELDS[[#This Row],[SHEET_REF_CALC]]&amp;"!A:B"),2,FALSE),"")</f>
        <v/>
      </c>
      <c r="I104" s="73"/>
      <c r="J104" s="72" t="b">
        <f ca="1">(DB_TBL_DATA_FIELDS[[#This Row],[FIELD_VALUE_RAW]]="")</f>
        <v>1</v>
      </c>
      <c r="K104" s="72" t="s">
        <v>11</v>
      </c>
      <c r="L104" s="68" t="b">
        <f ca="1">AND(IF(DB_TBL_DATA_FIELDS[[#This Row],[FIELD_VALID_CUSTOM_LOGIC]]="",TRUE,DB_TBL_DATA_FIELDS[[#This Row],[FIELD_VALID_CUSTOM_LOGIC]]),DB_TBL_DATA_FIELDS[[#This Row],[RANGE_VALIDATION_PASSED_FLAG]])</f>
        <v>1</v>
      </c>
      <c r="M104" s="7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04" s="68">
        <f ca="1">IF(DB_TBL_DATA_FIELDS[[#This Row],[SHEET_REF_CALC]]="","",IF(DB_TBL_DATA_FIELDS[[#This Row],[FIELD_EMPTY_FLAG]],IF(NOT(DB_TBL_DATA_FIELDS[[#This Row],[FIELD_REQ_FLAG]]),-1,1),IF(NOT(DB_TBL_DATA_FIELDS[[#This Row],[FIELD_VALID_FLAG]]),0,2)))</f>
        <v>1</v>
      </c>
      <c r="O104" s="68" t="str">
        <f ca="1">IFERROR(VLOOKUP(DB_TBL_DATA_FIELDS[[#This Row],[FIELD_STATUS_CODE]],DB_TBL_CONFIG_FIELDSTATUSCODES[#All],3,FALSE),"")</f>
        <v>Required</v>
      </c>
      <c r="P104" s="68" t="str">
        <f ca="1">IFERROR(VLOOKUP(DB_TBL_DATA_FIELDS[[#This Row],[FIELD_STATUS_CODE]],DB_TBL_CONFIG_FIELDSTATUSCODES[#All],4,FALSE),"")</f>
        <v>i</v>
      </c>
      <c r="Q104" s="68" t="b">
        <f>TRUE</f>
        <v>1</v>
      </c>
      <c r="R104" s="68" t="b">
        <f>TRUE</f>
        <v>1</v>
      </c>
      <c r="S104" s="67" t="s">
        <v>11</v>
      </c>
      <c r="T104" s="68">
        <f ca="1">IF(DB_TBL_DATA_FIELDS[[#This Row],[RANGE_VALIDATION_FLAG]]="Text",LEN(DB_TBL_DATA_FIELDS[[#This Row],[FIELD_VALUE_RAW]]),IFERROR(VALUE(DB_TBL_DATA_FIELDS[[#This Row],[FIELD_VALUE_RAW]]),-1))</f>
        <v>0</v>
      </c>
      <c r="U104" s="68">
        <v>0</v>
      </c>
      <c r="V104" s="101">
        <f>CONFIG_CHAR_LIMIT_LARGE</f>
        <v>2000</v>
      </c>
      <c r="W104" s="68" t="b">
        <f ca="1">IF(NOT(DB_TBL_DATA_FIELDS[[#This Row],[RANGE_VALIDATION_ON_FLAG]]),TRUE,
AND(DB_TBL_DATA_FIELDS[[#This Row],[RANGE_VALUE_LEN]]&gt;=DB_TBL_DATA_FIELDS[[#This Row],[RANGE_VALIDATION_MIN]],DB_TBL_DATA_FIELDS[[#This Row],[RANGE_VALUE_LEN]]&lt;=DB_TBL_DATA_FIELDS[[#This Row],[RANGE_VALIDATION_MAX]]))</f>
        <v>1</v>
      </c>
      <c r="X104" s="68">
        <v>1</v>
      </c>
      <c r="Y104" s="68">
        <f ca="1">IF(DB_TBL_DATA_FIELDS[[#This Row],[PCT_CALC_SHOW_STATUS_CODE]]=1,
DB_TBL_DATA_FIELDS[[#This Row],[FIELD_STATUS_CODE]],
IF(AND(DB_TBL_DATA_FIELDS[[#This Row],[PCT_CALC_SHOW_STATUS_CODE]]=2,DB_TBL_DATA_FIELDS[[#This Row],[FIELD_STATUS_CODE]]=0),
DB_TBL_DATA_FIELDS[[#This Row],[FIELD_STATUS_CODE]],
"")
)</f>
        <v>1</v>
      </c>
      <c r="Z104" s="68"/>
      <c r="AA104" s="73" t="s">
        <v>2583</v>
      </c>
      <c r="AB104" s="73" t="s">
        <v>2562</v>
      </c>
      <c r="AC104" s="68"/>
    </row>
    <row r="105" spans="1:29" x14ac:dyDescent="0.2">
      <c r="A105" s="4" t="s">
        <v>65</v>
      </c>
      <c r="B105" s="4" t="s">
        <v>64</v>
      </c>
      <c r="C105" s="16" t="str">
        <f ca="1">IF($H$10&lt;&gt;"R",IF(DB_TBL_DATA_FIELDS[[#This Row],[SHEET_REF_OWNER]]&lt;&gt;"",DB_TBL_DATA_FIELDS[[#This Row],[SHEET_REF_OWNER]],""),IF(DB_TBL_DATA_FIELDS[[#This Row],[SHEET_REF_RENTAL]]&lt;&gt;"",DB_TBL_DATA_FIELDS[[#This Row],[SHEET_REF_RENTAL]],""))</f>
        <v>RentalApp</v>
      </c>
      <c r="D105" s="4" t="s">
        <v>2608</v>
      </c>
      <c r="E105" s="4" t="b">
        <v>0</v>
      </c>
      <c r="F105" s="25" t="b">
        <v>1</v>
      </c>
      <c r="G105" s="6" t="s">
        <v>2631</v>
      </c>
      <c r="H105" s="11" t="str">
        <f ca="1">IFERROR(VLOOKUP(DB_TBL_DATA_FIELDS[[#This Row],[FIELD_ID]],INDIRECT(DB_TBL_DATA_FIELDS[[#This Row],[SHEET_REF_CALC]]&amp;"!A:B"),2,FALSE),"")</f>
        <v/>
      </c>
      <c r="I105" s="11"/>
      <c r="J105" s="6" t="b">
        <f ca="1">(DB_TBL_DATA_FIELDS[[#This Row],[FIELD_VALUE_RAW]]="")</f>
        <v>1</v>
      </c>
      <c r="K105" s="6" t="s">
        <v>11</v>
      </c>
      <c r="L105" s="8" t="b">
        <f ca="1">AND(IF(DB_TBL_DATA_FIELDS[[#This Row],[FIELD_VALID_CUSTOM_LOGIC]]="",TRUE,DB_TBL_DATA_FIELDS[[#This Row],[FIELD_VALID_CUSTOM_LOGIC]]),DB_TBL_DATA_FIELDS[[#This Row],[RANGE_VALIDATION_PASSED_FLAG]])</f>
        <v>1</v>
      </c>
      <c r="M105"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05" s="8">
        <f ca="1">IF(DB_TBL_DATA_FIELDS[[#This Row],[SHEET_REF_CALC]]="","",IF(DB_TBL_DATA_FIELDS[[#This Row],[FIELD_EMPTY_FLAG]],IF(NOT(DB_TBL_DATA_FIELDS[[#This Row],[FIELD_REQ_FLAG]]),-1,1),IF(NOT(DB_TBL_DATA_FIELDS[[#This Row],[FIELD_VALID_FLAG]]),0,2)))</f>
        <v>1</v>
      </c>
      <c r="O105" s="8" t="str">
        <f ca="1">IFERROR(VLOOKUP(DB_TBL_DATA_FIELDS[[#This Row],[FIELD_STATUS_CODE]],DB_TBL_CONFIG_FIELDSTATUSCODES[#All],3,FALSE),"")</f>
        <v>Required</v>
      </c>
      <c r="P105" s="8" t="str">
        <f ca="1">IFERROR(VLOOKUP(DB_TBL_DATA_FIELDS[[#This Row],[FIELD_STATUS_CODE]],DB_TBL_CONFIG_FIELDSTATUSCODES[#All],4,FALSE),"")</f>
        <v>i</v>
      </c>
      <c r="Q105" s="8" t="b">
        <f>TRUE</f>
        <v>1</v>
      </c>
      <c r="R105" s="8" t="b">
        <f>TRUE</f>
        <v>1</v>
      </c>
      <c r="S105" s="4" t="s">
        <v>11</v>
      </c>
      <c r="T105" s="8">
        <f ca="1">IF(DB_TBL_DATA_FIELDS[[#This Row],[RANGE_VALIDATION_FLAG]]="Text",LEN(DB_TBL_DATA_FIELDS[[#This Row],[FIELD_VALUE_RAW]]),IFERROR(VALUE(DB_TBL_DATA_FIELDS[[#This Row],[FIELD_VALUE_RAW]]),-1))</f>
        <v>0</v>
      </c>
      <c r="U105" s="8">
        <v>0</v>
      </c>
      <c r="V105" s="34">
        <v>20</v>
      </c>
      <c r="W105" s="8" t="b">
        <f ca="1">IF(NOT(DB_TBL_DATA_FIELDS[[#This Row],[RANGE_VALIDATION_ON_FLAG]]),TRUE,
AND(DB_TBL_DATA_FIELDS[[#This Row],[RANGE_VALUE_LEN]]&gt;=DB_TBL_DATA_FIELDS[[#This Row],[RANGE_VALIDATION_MIN]],DB_TBL_DATA_FIELDS[[#This Row],[RANGE_VALUE_LEN]]&lt;=DB_TBL_DATA_FIELDS[[#This Row],[RANGE_VALIDATION_MAX]]))</f>
        <v>1</v>
      </c>
      <c r="X105" s="8">
        <v>1</v>
      </c>
      <c r="Y105" s="8">
        <f ca="1">IF(DB_TBL_DATA_FIELDS[[#This Row],[PCT_CALC_SHOW_STATUS_CODE]]=1,
DB_TBL_DATA_FIELDS[[#This Row],[FIELD_STATUS_CODE]],
IF(AND(DB_TBL_DATA_FIELDS[[#This Row],[PCT_CALC_SHOW_STATUS_CODE]]=2,DB_TBL_DATA_FIELDS[[#This Row],[FIELD_STATUS_CODE]]=0),
DB_TBL_DATA_FIELDS[[#This Row],[FIELD_STATUS_CODE]],
"")
)</f>
        <v>1</v>
      </c>
      <c r="Z105" s="8"/>
      <c r="AA105" s="11" t="s">
        <v>2618</v>
      </c>
      <c r="AB105" s="11" t="s">
        <v>2630</v>
      </c>
      <c r="AC105" s="8"/>
    </row>
    <row r="106" spans="1:29" x14ac:dyDescent="0.2">
      <c r="A106" s="4" t="s">
        <v>65</v>
      </c>
      <c r="B106" s="4" t="s">
        <v>64</v>
      </c>
      <c r="C106" s="16" t="str">
        <f ca="1">IF($H$10&lt;&gt;"R",IF(DB_TBL_DATA_FIELDS[[#This Row],[SHEET_REF_OWNER]]&lt;&gt;"",DB_TBL_DATA_FIELDS[[#This Row],[SHEET_REF_OWNER]],""),IF(DB_TBL_DATA_FIELDS[[#This Row],[SHEET_REF_RENTAL]]&lt;&gt;"",DB_TBL_DATA_FIELDS[[#This Row],[SHEET_REF_RENTAL]],""))</f>
        <v>RentalApp</v>
      </c>
      <c r="D106" s="4" t="s">
        <v>2609</v>
      </c>
      <c r="E106" s="4" t="b">
        <v>0</v>
      </c>
      <c r="F106" s="25" t="b">
        <v>1</v>
      </c>
      <c r="G106" s="6" t="s">
        <v>2632</v>
      </c>
      <c r="H106" s="11" t="str">
        <f ca="1">IFERROR(VLOOKUP(DB_TBL_DATA_FIELDS[[#This Row],[FIELD_ID]],INDIRECT(DB_TBL_DATA_FIELDS[[#This Row],[SHEET_REF_CALC]]&amp;"!A:B"),2,FALSE),"")</f>
        <v/>
      </c>
      <c r="I106" s="11"/>
      <c r="J106" s="6" t="b">
        <f ca="1">(DB_TBL_DATA_FIELDS[[#This Row],[FIELD_VALUE_RAW]]="")</f>
        <v>1</v>
      </c>
      <c r="K106" s="6" t="s">
        <v>11</v>
      </c>
      <c r="L106" s="8" t="b">
        <f ca="1">AND(IF(DB_TBL_DATA_FIELDS[[#This Row],[FIELD_VALID_CUSTOM_LOGIC]]="",TRUE,DB_TBL_DATA_FIELDS[[#This Row],[FIELD_VALID_CUSTOM_LOGIC]]),DB_TBL_DATA_FIELDS[[#This Row],[RANGE_VALIDATION_PASSED_FLAG]])</f>
        <v>1</v>
      </c>
      <c r="M106"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06" s="8">
        <f ca="1">IF(DB_TBL_DATA_FIELDS[[#This Row],[SHEET_REF_CALC]]="","",IF(DB_TBL_DATA_FIELDS[[#This Row],[FIELD_EMPTY_FLAG]],IF(NOT(DB_TBL_DATA_FIELDS[[#This Row],[FIELD_REQ_FLAG]]),-1,1),IF(NOT(DB_TBL_DATA_FIELDS[[#This Row],[FIELD_VALID_FLAG]]),0,2)))</f>
        <v>1</v>
      </c>
      <c r="O106" s="8" t="str">
        <f ca="1">IFERROR(VLOOKUP(DB_TBL_DATA_FIELDS[[#This Row],[FIELD_STATUS_CODE]],DB_TBL_CONFIG_FIELDSTATUSCODES[#All],3,FALSE),"")</f>
        <v>Required</v>
      </c>
      <c r="P106" s="8" t="str">
        <f ca="1">IFERROR(VLOOKUP(DB_TBL_DATA_FIELDS[[#This Row],[FIELD_STATUS_CODE]],DB_TBL_CONFIG_FIELDSTATUSCODES[#All],4,FALSE),"")</f>
        <v>i</v>
      </c>
      <c r="Q106" s="8" t="b">
        <f>TRUE</f>
        <v>1</v>
      </c>
      <c r="R106" s="8" t="b">
        <f>TRUE</f>
        <v>1</v>
      </c>
      <c r="S106" s="4" t="s">
        <v>11</v>
      </c>
      <c r="T106" s="8">
        <f ca="1">IF(DB_TBL_DATA_FIELDS[[#This Row],[RANGE_VALIDATION_FLAG]]="Text",LEN(DB_TBL_DATA_FIELDS[[#This Row],[FIELD_VALUE_RAW]]),IFERROR(VALUE(DB_TBL_DATA_FIELDS[[#This Row],[FIELD_VALUE_RAW]]),-1))</f>
        <v>0</v>
      </c>
      <c r="U106" s="8">
        <v>0</v>
      </c>
      <c r="V106" s="34">
        <v>20</v>
      </c>
      <c r="W106" s="8" t="b">
        <f ca="1">IF(NOT(DB_TBL_DATA_FIELDS[[#This Row],[RANGE_VALIDATION_ON_FLAG]]),TRUE,
AND(DB_TBL_DATA_FIELDS[[#This Row],[RANGE_VALUE_LEN]]&gt;=DB_TBL_DATA_FIELDS[[#This Row],[RANGE_VALIDATION_MIN]],DB_TBL_DATA_FIELDS[[#This Row],[RANGE_VALUE_LEN]]&lt;=DB_TBL_DATA_FIELDS[[#This Row],[RANGE_VALIDATION_MAX]]))</f>
        <v>1</v>
      </c>
      <c r="X106" s="8">
        <v>1</v>
      </c>
      <c r="Y106" s="8">
        <f ca="1">IF(DB_TBL_DATA_FIELDS[[#This Row],[PCT_CALC_SHOW_STATUS_CODE]]=1,
DB_TBL_DATA_FIELDS[[#This Row],[FIELD_STATUS_CODE]],
IF(AND(DB_TBL_DATA_FIELDS[[#This Row],[PCT_CALC_SHOW_STATUS_CODE]]=2,DB_TBL_DATA_FIELDS[[#This Row],[FIELD_STATUS_CODE]]=0),
DB_TBL_DATA_FIELDS[[#This Row],[FIELD_STATUS_CODE]],
"")
)</f>
        <v>1</v>
      </c>
      <c r="Z106" s="8"/>
      <c r="AA106" s="11" t="s">
        <v>2619</v>
      </c>
      <c r="AB106" s="11" t="s">
        <v>2630</v>
      </c>
      <c r="AC106" s="8"/>
    </row>
    <row r="107" spans="1:29" x14ac:dyDescent="0.2">
      <c r="A107" s="4" t="s">
        <v>65</v>
      </c>
      <c r="B107" s="4" t="s">
        <v>64</v>
      </c>
      <c r="C107" s="16" t="str">
        <f ca="1">IF($H$10&lt;&gt;"R",IF(DB_TBL_DATA_FIELDS[[#This Row],[SHEET_REF_OWNER]]&lt;&gt;"",DB_TBL_DATA_FIELDS[[#This Row],[SHEET_REF_OWNER]],""),IF(DB_TBL_DATA_FIELDS[[#This Row],[SHEET_REF_RENTAL]]&lt;&gt;"",DB_TBL_DATA_FIELDS[[#This Row],[SHEET_REF_RENTAL]],""))</f>
        <v>RentalApp</v>
      </c>
      <c r="D107" s="4" t="s">
        <v>2610</v>
      </c>
      <c r="E107" s="4" t="b">
        <v>1</v>
      </c>
      <c r="F107" s="25" t="b">
        <v>1</v>
      </c>
      <c r="G107" s="6" t="s">
        <v>2636</v>
      </c>
      <c r="H107" s="11" t="str">
        <f ca="1">IFERROR(VLOOKUP(DB_TBL_DATA_FIELDS[[#This Row],[FIELD_ID]],INDIRECT(DB_TBL_DATA_FIELDS[[#This Row],[SHEET_REF_CALC]]&amp;"!A:B"),2,FALSE),"")</f>
        <v/>
      </c>
      <c r="I107" s="11"/>
      <c r="J107" s="6" t="b">
        <f ca="1">(DB_TBL_DATA_FIELDS[[#This Row],[FIELD_VALUE_RAW]]="")</f>
        <v>1</v>
      </c>
      <c r="K107" s="6" t="s">
        <v>209</v>
      </c>
      <c r="L107" s="8" t="b">
        <f>AND(IF(DB_TBL_DATA_FIELDS[[#This Row],[FIELD_VALID_CUSTOM_LOGIC]]="",TRUE,DB_TBL_DATA_FIELDS[[#This Row],[FIELD_VALID_CUSTOM_LOGIC]]),DB_TBL_DATA_FIELDS[[#This Row],[RANGE_VALIDATION_PASSED_FLAG]])</f>
        <v>1</v>
      </c>
      <c r="M107"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07" s="8">
        <f ca="1">IF(DB_TBL_DATA_FIELDS[[#This Row],[SHEET_REF_CALC]]="","",IF(DB_TBL_DATA_FIELDS[[#This Row],[FIELD_EMPTY_FLAG]],IF(NOT(DB_TBL_DATA_FIELDS[[#This Row],[FIELD_REQ_FLAG]]),-1,1),IF(NOT(DB_TBL_DATA_FIELDS[[#This Row],[FIELD_VALID_FLAG]]),0,2)))</f>
        <v>1</v>
      </c>
      <c r="O107" s="8" t="str">
        <f ca="1">IFERROR(VLOOKUP(DB_TBL_DATA_FIELDS[[#This Row],[FIELD_STATUS_CODE]],DB_TBL_CONFIG_FIELDSTATUSCODES[#All],3,FALSE),"")</f>
        <v>Required</v>
      </c>
      <c r="P107" s="8" t="str">
        <f ca="1">IFERROR(VLOOKUP(DB_TBL_DATA_FIELDS[[#This Row],[FIELD_STATUS_CODE]],DB_TBL_CONFIG_FIELDSTATUSCODES[#All],4,FALSE),"")</f>
        <v>i</v>
      </c>
      <c r="Q107" s="8" t="b">
        <f>TRUE</f>
        <v>1</v>
      </c>
      <c r="R107" s="8" t="b">
        <v>0</v>
      </c>
      <c r="S107" s="4"/>
      <c r="T107" s="8">
        <f ca="1">IF(DB_TBL_DATA_FIELDS[[#This Row],[RANGE_VALIDATION_FLAG]]="Text",LEN(DB_TBL_DATA_FIELDS[[#This Row],[FIELD_VALUE_RAW]]),IFERROR(VALUE(DB_TBL_DATA_FIELDS[[#This Row],[FIELD_VALUE_RAW]]),-1))</f>
        <v>-1</v>
      </c>
      <c r="U107" s="8">
        <v>0</v>
      </c>
      <c r="V107" s="34">
        <v>1</v>
      </c>
      <c r="W107" s="8" t="b">
        <f>IF(NOT(DB_TBL_DATA_FIELDS[[#This Row],[RANGE_VALIDATION_ON_FLAG]]),TRUE,
AND(DB_TBL_DATA_FIELDS[[#This Row],[RANGE_VALUE_LEN]]&gt;=DB_TBL_DATA_FIELDS[[#This Row],[RANGE_VALIDATION_MIN]],DB_TBL_DATA_FIELDS[[#This Row],[RANGE_VALUE_LEN]]&lt;=DB_TBL_DATA_FIELDS[[#This Row],[RANGE_VALIDATION_MAX]]))</f>
        <v>1</v>
      </c>
      <c r="X107" s="8">
        <v>1</v>
      </c>
      <c r="Y107" s="8">
        <f ca="1">IF(DB_TBL_DATA_FIELDS[[#This Row],[PCT_CALC_SHOW_STATUS_CODE]]=1,
DB_TBL_DATA_FIELDS[[#This Row],[FIELD_STATUS_CODE]],
IF(AND(DB_TBL_DATA_FIELDS[[#This Row],[PCT_CALC_SHOW_STATUS_CODE]]=2,DB_TBL_DATA_FIELDS[[#This Row],[FIELD_STATUS_CODE]]=0),
DB_TBL_DATA_FIELDS[[#This Row],[FIELD_STATUS_CODE]],
"")
)</f>
        <v>1</v>
      </c>
      <c r="Z107" s="8"/>
      <c r="AA107" s="11" t="s">
        <v>2620</v>
      </c>
      <c r="AB107" s="11" t="s">
        <v>2630</v>
      </c>
      <c r="AC107" s="8"/>
    </row>
    <row r="108" spans="1:29" x14ac:dyDescent="0.2">
      <c r="A108" s="4" t="s">
        <v>65</v>
      </c>
      <c r="B108" s="4" t="s">
        <v>64</v>
      </c>
      <c r="C108" s="16" t="str">
        <f ca="1">IF($H$10&lt;&gt;"R",IF(DB_TBL_DATA_FIELDS[[#This Row],[SHEET_REF_OWNER]]&lt;&gt;"",DB_TBL_DATA_FIELDS[[#This Row],[SHEET_REF_OWNER]],""),IF(DB_TBL_DATA_FIELDS[[#This Row],[SHEET_REF_RENTAL]]&lt;&gt;"",DB_TBL_DATA_FIELDS[[#This Row],[SHEET_REF_RENTAL]],""))</f>
        <v>RentalApp</v>
      </c>
      <c r="D108" s="378" t="s">
        <v>3616</v>
      </c>
      <c r="E108" s="4" t="b">
        <v>0</v>
      </c>
      <c r="F108" s="25" t="b">
        <v>1</v>
      </c>
      <c r="G108" s="6" t="s">
        <v>3613</v>
      </c>
      <c r="H108" s="44" t="str">
        <f ca="1">IFERROR(TEXT(VLOOKUP(DB_TBL_DATA_FIELDS[[#This Row],[FIELD_ID]],INDIRECT(DB_TBL_DATA_FIELDS[[#This Row],[SHEET_REF_CALC]]&amp;"!A:B"),2,FALSE),"MM/DD/YYYY"),"")</f>
        <v/>
      </c>
      <c r="I108" s="11"/>
      <c r="J108" s="6" t="b">
        <f ca="1">(DB_TBL_DATA_FIELDS[[#This Row],[FIELD_VALUE_RAW]]="")</f>
        <v>1</v>
      </c>
      <c r="K108" s="6" t="s">
        <v>38</v>
      </c>
      <c r="L108" s="8" t="b">
        <f ca="1">AND(IF(DB_TBL_DATA_FIELDS[[#This Row],[FIELD_VALID_CUSTOM_LOGIC]]="",TRUE,DB_TBL_DATA_FIELDS[[#This Row],[FIELD_VALID_CUSTOM_LOGIC]]),DB_TBL_DATA_FIELDS[[#This Row],[RANGE_VALIDATION_PASSED_FLAG]])</f>
        <v>1</v>
      </c>
      <c r="M108"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08" s="8">
        <f ca="1">IF(DB_TBL_DATA_FIELDS[[#This Row],[SHEET_REF_CALC]]="","",IF(DB_TBL_DATA_FIELDS[[#This Row],[FIELD_EMPTY_FLAG]],IF(NOT(DB_TBL_DATA_FIELDS[[#This Row],[FIELD_REQ_FLAG]]),-1,1),IF(NOT(DB_TBL_DATA_FIELDS[[#This Row],[FIELD_VALID_FLAG]]),0,2)))</f>
        <v>1</v>
      </c>
      <c r="O108" s="8" t="str">
        <f ca="1">IFERROR(VLOOKUP(DB_TBL_DATA_FIELDS[[#This Row],[FIELD_STATUS_CODE]],DB_TBL_CONFIG_FIELDSTATUSCODES[#All],3,FALSE),"")</f>
        <v>Required</v>
      </c>
      <c r="P108" s="8" t="str">
        <f ca="1">IFERROR(VLOOKUP(DB_TBL_DATA_FIELDS[[#This Row],[FIELD_STATUS_CODE]],DB_TBL_CONFIG_FIELDSTATUSCODES[#All],4,FALSE),"")</f>
        <v>i</v>
      </c>
      <c r="Q108" s="8" t="b">
        <f>TRUE</f>
        <v>1</v>
      </c>
      <c r="R108" s="8" t="b">
        <f>TRUE</f>
        <v>1</v>
      </c>
      <c r="S108" s="4" t="s">
        <v>11</v>
      </c>
      <c r="T108" s="8">
        <f ca="1">IF(DB_TBL_DATA_FIELDS[[#This Row],[RANGE_VALIDATION_FLAG]]="Text",LEN(DB_TBL_DATA_FIELDS[[#This Row],[FIELD_VALUE_RAW]]),IFERROR(VALUE(DB_TBL_DATA_FIELDS[[#This Row],[FIELD_VALUE_RAW]]),-1))</f>
        <v>0</v>
      </c>
      <c r="U108" s="8">
        <v>0</v>
      </c>
      <c r="V108" s="34">
        <v>32767</v>
      </c>
      <c r="W108" s="8" t="b">
        <f ca="1">IF(NOT(DB_TBL_DATA_FIELDS[[#This Row],[RANGE_VALIDATION_ON_FLAG]]),TRUE,
AND(DB_TBL_DATA_FIELDS[[#This Row],[RANGE_VALUE_LEN]]&gt;=DB_TBL_DATA_FIELDS[[#This Row],[RANGE_VALIDATION_MIN]],DB_TBL_DATA_FIELDS[[#This Row],[RANGE_VALUE_LEN]]&lt;=DB_TBL_DATA_FIELDS[[#This Row],[RANGE_VALIDATION_MAX]]))</f>
        <v>1</v>
      </c>
      <c r="X108" s="8">
        <v>1</v>
      </c>
      <c r="Y108" s="8">
        <f ca="1">IF(DB_TBL_DATA_FIELDS[[#This Row],[PCT_CALC_SHOW_STATUS_CODE]]=1,
DB_TBL_DATA_FIELDS[[#This Row],[FIELD_STATUS_CODE]],
IF(AND(DB_TBL_DATA_FIELDS[[#This Row],[PCT_CALC_SHOW_STATUS_CODE]]=2,DB_TBL_DATA_FIELDS[[#This Row],[FIELD_STATUS_CODE]]=0),
DB_TBL_DATA_FIELDS[[#This Row],[FIELD_STATUS_CODE]],
"")
)</f>
        <v>1</v>
      </c>
      <c r="Z108" s="8"/>
      <c r="AA108" s="11"/>
      <c r="AB108" s="11" t="s">
        <v>2630</v>
      </c>
      <c r="AC108" s="8" t="s">
        <v>3615</v>
      </c>
    </row>
    <row r="109" spans="1:29" x14ac:dyDescent="0.2">
      <c r="A109" s="4" t="s">
        <v>65</v>
      </c>
      <c r="B109" s="4" t="s">
        <v>64</v>
      </c>
      <c r="C109" s="16" t="str">
        <f ca="1">IF($H$10&lt;&gt;"R",IF(DB_TBL_DATA_FIELDS[[#This Row],[SHEET_REF_OWNER]]&lt;&gt;"",DB_TBL_DATA_FIELDS[[#This Row],[SHEET_REF_OWNER]],""),IF(DB_TBL_DATA_FIELDS[[#This Row],[SHEET_REF_RENTAL]]&lt;&gt;"",DB_TBL_DATA_FIELDS[[#This Row],[SHEET_REF_RENTAL]],""))</f>
        <v>RentalApp</v>
      </c>
      <c r="D109" s="378" t="s">
        <v>3617</v>
      </c>
      <c r="E109" s="4" t="b">
        <v>0</v>
      </c>
      <c r="F109" s="25" t="b">
        <v>1</v>
      </c>
      <c r="G109" s="6" t="s">
        <v>3614</v>
      </c>
      <c r="H109" s="44" t="str">
        <f ca="1">IFERROR(TEXT(VLOOKUP(DB_TBL_DATA_FIELDS[[#This Row],[FIELD_ID]],INDIRECT(DB_TBL_DATA_FIELDS[[#This Row],[SHEET_REF_CALC]]&amp;"!A:B"),2,FALSE),"MM/DD/YYYY"),"")</f>
        <v/>
      </c>
      <c r="I109" s="29" t="str">
        <f ca="1">IF(DB_TBL_DATA_FIELDS[[#This Row],[FIELD_VALUE_RAW]]="","",IF(DATA_CONSTR_REHAB_START_DATE="",TRUE,DATEVALUE(DB_TBL_DATA_FIELDS[[#This Row],[FIELD_VALUE_RAW]])&gt;=DATEVALUE(DATA_CONSTR_REHAB_START_DATE)))</f>
        <v/>
      </c>
      <c r="J109" s="6" t="b">
        <f ca="1">(DB_TBL_DATA_FIELDS[[#This Row],[FIELD_VALUE_RAW]]="")</f>
        <v>1</v>
      </c>
      <c r="K109" s="6" t="s">
        <v>38</v>
      </c>
      <c r="L109" s="8" t="b">
        <f ca="1">AND(IF(DB_TBL_DATA_FIELDS[[#This Row],[FIELD_VALID_CUSTOM_LOGIC]]="",TRUE,DB_TBL_DATA_FIELDS[[#This Row],[FIELD_VALID_CUSTOM_LOGIC]]),DB_TBL_DATA_FIELDS[[#This Row],[RANGE_VALIDATION_PASSED_FLAG]])</f>
        <v>1</v>
      </c>
      <c r="M109"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09" s="8">
        <f ca="1">IF(DB_TBL_DATA_FIELDS[[#This Row],[SHEET_REF_CALC]]="","",IF(DB_TBL_DATA_FIELDS[[#This Row],[FIELD_EMPTY_FLAG]],IF(NOT(DB_TBL_DATA_FIELDS[[#This Row],[FIELD_REQ_FLAG]]),-1,1),IF(NOT(DB_TBL_DATA_FIELDS[[#This Row],[FIELD_VALID_FLAG]]),0,2)))</f>
        <v>1</v>
      </c>
      <c r="O109" s="8" t="str">
        <f ca="1">IFERROR(VLOOKUP(DB_TBL_DATA_FIELDS[[#This Row],[FIELD_STATUS_CODE]],DB_TBL_CONFIG_FIELDSTATUSCODES[#All],3,FALSE),"")</f>
        <v>Required</v>
      </c>
      <c r="P109" s="8" t="str">
        <f ca="1">IFERROR(VLOOKUP(DB_TBL_DATA_FIELDS[[#This Row],[FIELD_STATUS_CODE]],DB_TBL_CONFIG_FIELDSTATUSCODES[#All],4,FALSE),"")</f>
        <v>i</v>
      </c>
      <c r="Q109" s="8" t="b">
        <f>TRUE</f>
        <v>1</v>
      </c>
      <c r="R109" s="8" t="b">
        <f>TRUE</f>
        <v>1</v>
      </c>
      <c r="S109" s="4" t="s">
        <v>11</v>
      </c>
      <c r="T109" s="8">
        <f ca="1">IF(DB_TBL_DATA_FIELDS[[#This Row],[RANGE_VALIDATION_FLAG]]="Text",LEN(DB_TBL_DATA_FIELDS[[#This Row],[FIELD_VALUE_RAW]]),IFERROR(VALUE(DB_TBL_DATA_FIELDS[[#This Row],[FIELD_VALUE_RAW]]),-1))</f>
        <v>0</v>
      </c>
      <c r="U109" s="8">
        <v>0</v>
      </c>
      <c r="V109" s="34">
        <v>32767</v>
      </c>
      <c r="W109" s="8" t="b">
        <f ca="1">IF(NOT(DB_TBL_DATA_FIELDS[[#This Row],[RANGE_VALIDATION_ON_FLAG]]),TRUE,
AND(DB_TBL_DATA_FIELDS[[#This Row],[RANGE_VALUE_LEN]]&gt;=DB_TBL_DATA_FIELDS[[#This Row],[RANGE_VALIDATION_MIN]],DB_TBL_DATA_FIELDS[[#This Row],[RANGE_VALUE_LEN]]&lt;=DB_TBL_DATA_FIELDS[[#This Row],[RANGE_VALIDATION_MAX]]))</f>
        <v>1</v>
      </c>
      <c r="X109" s="8">
        <v>1</v>
      </c>
      <c r="Y109" s="8">
        <f ca="1">IF(DB_TBL_DATA_FIELDS[[#This Row],[PCT_CALC_SHOW_STATUS_CODE]]=1,
DB_TBL_DATA_FIELDS[[#This Row],[FIELD_STATUS_CODE]],
IF(AND(DB_TBL_DATA_FIELDS[[#This Row],[PCT_CALC_SHOW_STATUS_CODE]]=2,DB_TBL_DATA_FIELDS[[#This Row],[FIELD_STATUS_CODE]]=0),
DB_TBL_DATA_FIELDS[[#This Row],[FIELD_STATUS_CODE]],
"")
)</f>
        <v>1</v>
      </c>
      <c r="Z109" s="101" t="str">
        <f ca="1">IF(DB_TBL_DATA_FIELDS[[#This Row],[FIELD_VALUE_RAW]]="","",IF(NOT(DB_TBL_DATA_FIELDS[[#This Row],[FIELD_VALID_CUSTOM_LOGIC]]),
"Cannot be earlier than construction/rehabilitation start date",""))</f>
        <v/>
      </c>
      <c r="AA109" s="11"/>
      <c r="AB109" s="11" t="s">
        <v>2630</v>
      </c>
      <c r="AC109" s="8" t="s">
        <v>3615</v>
      </c>
    </row>
    <row r="110" spans="1:29" x14ac:dyDescent="0.2">
      <c r="A110" s="4"/>
      <c r="B110" s="4" t="s">
        <v>64</v>
      </c>
      <c r="C110" s="16" t="str">
        <f ca="1">IF($H$10&lt;&gt;"R",IF(DB_TBL_DATA_FIELDS[[#This Row],[SHEET_REF_OWNER]]&lt;&gt;"",DB_TBL_DATA_FIELDS[[#This Row],[SHEET_REF_OWNER]],""),IF(DB_TBL_DATA_FIELDS[[#This Row],[SHEET_REF_RENTAL]]&lt;&gt;"",DB_TBL_DATA_FIELDS[[#This Row],[SHEET_REF_RENTAL]],""))</f>
        <v>RentalApp</v>
      </c>
      <c r="D110" s="89" t="s">
        <v>2633</v>
      </c>
      <c r="E110" s="4" t="b">
        <v>1</v>
      </c>
      <c r="F110" s="25" t="b">
        <v>1</v>
      </c>
      <c r="G110" s="6" t="s">
        <v>2635</v>
      </c>
      <c r="H110" s="11" t="str">
        <f ca="1">IFERROR(VLOOKUP(DB_TBL_DATA_FIELDS[[#This Row],[FIELD_ID]],INDIRECT(DB_TBL_DATA_FIELDS[[#This Row],[SHEET_REF_CALC]]&amp;"!A:B"),2,FALSE),"")</f>
        <v/>
      </c>
      <c r="I110" s="11"/>
      <c r="J110" s="6" t="b">
        <f ca="1">(DB_TBL_DATA_FIELDS[[#This Row],[FIELD_VALUE_RAW]]="")</f>
        <v>1</v>
      </c>
      <c r="K110" s="6" t="s">
        <v>209</v>
      </c>
      <c r="L110" s="8" t="b">
        <f>AND(IF(DB_TBL_DATA_FIELDS[[#This Row],[FIELD_VALID_CUSTOM_LOGIC]]="",TRUE,DB_TBL_DATA_FIELDS[[#This Row],[FIELD_VALID_CUSTOM_LOGIC]]),DB_TBL_DATA_FIELDS[[#This Row],[RANGE_VALIDATION_PASSED_FLAG]])</f>
        <v>1</v>
      </c>
      <c r="M110"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10" s="8">
        <f ca="1">IF(DB_TBL_DATA_FIELDS[[#This Row],[SHEET_REF_CALC]]="","",IF(DB_TBL_DATA_FIELDS[[#This Row],[FIELD_EMPTY_FLAG]],IF(NOT(DB_TBL_DATA_FIELDS[[#This Row],[FIELD_REQ_FLAG]]),-1,1),IF(NOT(DB_TBL_DATA_FIELDS[[#This Row],[FIELD_VALID_FLAG]]),0,2)))</f>
        <v>1</v>
      </c>
      <c r="O110" s="8" t="str">
        <f ca="1">IFERROR(VLOOKUP(DB_TBL_DATA_FIELDS[[#This Row],[FIELD_STATUS_CODE]],DB_TBL_CONFIG_FIELDSTATUSCODES[#All],3,FALSE),"")</f>
        <v>Required</v>
      </c>
      <c r="P110" s="8" t="str">
        <f ca="1">IFERROR(VLOOKUP(DB_TBL_DATA_FIELDS[[#This Row],[FIELD_STATUS_CODE]],DB_TBL_CONFIG_FIELDSTATUSCODES[#All],4,FALSE),"")</f>
        <v>i</v>
      </c>
      <c r="Q110" s="8" t="b">
        <f>TRUE</f>
        <v>1</v>
      </c>
      <c r="R110" s="8" t="b">
        <v>0</v>
      </c>
      <c r="S110" s="4"/>
      <c r="T110" s="8">
        <f ca="1">IF(DB_TBL_DATA_FIELDS[[#This Row],[RANGE_VALIDATION_FLAG]]="Text",LEN(DB_TBL_DATA_FIELDS[[#This Row],[FIELD_VALUE_RAW]]),IFERROR(VALUE(DB_TBL_DATA_FIELDS[[#This Row],[FIELD_VALUE_RAW]]),-1))</f>
        <v>-1</v>
      </c>
      <c r="U110" s="8">
        <v>0</v>
      </c>
      <c r="V110" s="34">
        <v>1</v>
      </c>
      <c r="W110" s="8" t="b">
        <f>IF(NOT(DB_TBL_DATA_FIELDS[[#This Row],[RANGE_VALIDATION_ON_FLAG]]),TRUE,
AND(DB_TBL_DATA_FIELDS[[#This Row],[RANGE_VALUE_LEN]]&gt;=DB_TBL_DATA_FIELDS[[#This Row],[RANGE_VALIDATION_MIN]],DB_TBL_DATA_FIELDS[[#This Row],[RANGE_VALUE_LEN]]&lt;=DB_TBL_DATA_FIELDS[[#This Row],[RANGE_VALIDATION_MAX]]))</f>
        <v>1</v>
      </c>
      <c r="X110" s="8">
        <v>1</v>
      </c>
      <c r="Y110" s="8">
        <f ca="1">IF(DB_TBL_DATA_FIELDS[[#This Row],[PCT_CALC_SHOW_STATUS_CODE]]=1,
DB_TBL_DATA_FIELDS[[#This Row],[FIELD_STATUS_CODE]],
IF(AND(DB_TBL_DATA_FIELDS[[#This Row],[PCT_CALC_SHOW_STATUS_CODE]]=2,DB_TBL_DATA_FIELDS[[#This Row],[FIELD_STATUS_CODE]]=0),
DB_TBL_DATA_FIELDS[[#This Row],[FIELD_STATUS_CODE]],
"")
)</f>
        <v>1</v>
      </c>
      <c r="Z110" s="8"/>
      <c r="AA110" s="11" t="s">
        <v>2621</v>
      </c>
      <c r="AB110" s="11" t="s">
        <v>2630</v>
      </c>
      <c r="AC110" s="8"/>
    </row>
    <row r="111" spans="1:29" x14ac:dyDescent="0.2">
      <c r="A111" s="4"/>
      <c r="B111" s="4" t="s">
        <v>64</v>
      </c>
      <c r="C111" s="16" t="str">
        <f ca="1">IF($H$10&lt;&gt;"R",IF(DB_TBL_DATA_FIELDS[[#This Row],[SHEET_REF_OWNER]]&lt;&gt;"",DB_TBL_DATA_FIELDS[[#This Row],[SHEET_REF_OWNER]],""),IF(DB_TBL_DATA_FIELDS[[#This Row],[SHEET_REF_RENTAL]]&lt;&gt;"",DB_TBL_DATA_FIELDS[[#This Row],[SHEET_REF_RENTAL]],""))</f>
        <v>RentalApp</v>
      </c>
      <c r="D111" s="89" t="s">
        <v>2611</v>
      </c>
      <c r="E111" s="4" t="b">
        <v>0</v>
      </c>
      <c r="F111" s="25" t="b">
        <v>1</v>
      </c>
      <c r="G111" s="6" t="s">
        <v>2637</v>
      </c>
      <c r="H111" s="11" t="str">
        <f ca="1">IFERROR(VLOOKUP(DB_TBL_DATA_FIELDS[[#This Row],[FIELD_ID]],INDIRECT(DB_TBL_DATA_FIELDS[[#This Row],[SHEET_REF_CALC]]&amp;"!A:B"),2,FALSE),"")</f>
        <v/>
      </c>
      <c r="I111" s="11"/>
      <c r="J111" s="6" t="b">
        <f ca="1">(DB_TBL_DATA_FIELDS[[#This Row],[FIELD_VALUE_RAW]]="")</f>
        <v>1</v>
      </c>
      <c r="K111" s="6" t="s">
        <v>209</v>
      </c>
      <c r="L111" s="8" t="b">
        <f>AND(IF(DB_TBL_DATA_FIELDS[[#This Row],[FIELD_VALID_CUSTOM_LOGIC]]="",TRUE,DB_TBL_DATA_FIELDS[[#This Row],[FIELD_VALID_CUSTOM_LOGIC]]),DB_TBL_DATA_FIELDS[[#This Row],[RANGE_VALIDATION_PASSED_FLAG]])</f>
        <v>1</v>
      </c>
      <c r="M111"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11" s="8">
        <f ca="1">IF(DB_TBL_DATA_FIELDS[[#This Row],[SHEET_REF_CALC]]="","",IF(DB_TBL_DATA_FIELDS[[#This Row],[FIELD_EMPTY_FLAG]],IF(NOT(DB_TBL_DATA_FIELDS[[#This Row],[FIELD_REQ_FLAG]]),-1,1),IF(NOT(DB_TBL_DATA_FIELDS[[#This Row],[FIELD_VALID_FLAG]]),0,2)))</f>
        <v>1</v>
      </c>
      <c r="O111" s="8" t="str">
        <f ca="1">IFERROR(VLOOKUP(DB_TBL_DATA_FIELDS[[#This Row],[FIELD_STATUS_CODE]],DB_TBL_CONFIG_FIELDSTATUSCODES[#All],3,FALSE),"")</f>
        <v>Required</v>
      </c>
      <c r="P111" s="8" t="str">
        <f ca="1">IFERROR(VLOOKUP(DB_TBL_DATA_FIELDS[[#This Row],[FIELD_STATUS_CODE]],DB_TBL_CONFIG_FIELDSTATUSCODES[#All],4,FALSE),"")</f>
        <v>i</v>
      </c>
      <c r="Q111" s="8" t="b">
        <f>TRUE</f>
        <v>1</v>
      </c>
      <c r="R111" s="8" t="b">
        <v>0</v>
      </c>
      <c r="S111" s="4"/>
      <c r="T111" s="8">
        <f ca="1">IF(DB_TBL_DATA_FIELDS[[#This Row],[RANGE_VALIDATION_FLAG]]="Text",LEN(DB_TBL_DATA_FIELDS[[#This Row],[FIELD_VALUE_RAW]]),IFERROR(VALUE(DB_TBL_DATA_FIELDS[[#This Row],[FIELD_VALUE_RAW]]),-1))</f>
        <v>-1</v>
      </c>
      <c r="U111" s="8">
        <v>0</v>
      </c>
      <c r="V111" s="34">
        <v>1</v>
      </c>
      <c r="W111" s="8" t="b">
        <f>IF(NOT(DB_TBL_DATA_FIELDS[[#This Row],[RANGE_VALIDATION_ON_FLAG]]),TRUE,
AND(DB_TBL_DATA_FIELDS[[#This Row],[RANGE_VALUE_LEN]]&gt;=DB_TBL_DATA_FIELDS[[#This Row],[RANGE_VALIDATION_MIN]],DB_TBL_DATA_FIELDS[[#This Row],[RANGE_VALUE_LEN]]&lt;=DB_TBL_DATA_FIELDS[[#This Row],[RANGE_VALIDATION_MAX]]))</f>
        <v>1</v>
      </c>
      <c r="X111" s="8">
        <v>1</v>
      </c>
      <c r="Y111" s="8">
        <f ca="1">IF(DB_TBL_DATA_FIELDS[[#This Row],[PCT_CALC_SHOW_STATUS_CODE]]=1,
DB_TBL_DATA_FIELDS[[#This Row],[FIELD_STATUS_CODE]],
IF(AND(DB_TBL_DATA_FIELDS[[#This Row],[PCT_CALC_SHOW_STATUS_CODE]]=2,DB_TBL_DATA_FIELDS[[#This Row],[FIELD_STATUS_CODE]]=0),
DB_TBL_DATA_FIELDS[[#This Row],[FIELD_STATUS_CODE]],
"")
)</f>
        <v>1</v>
      </c>
      <c r="Z111" s="8"/>
      <c r="AA111" s="11" t="s">
        <v>2623</v>
      </c>
      <c r="AB111" s="11" t="s">
        <v>2630</v>
      </c>
      <c r="AC111" s="8"/>
    </row>
    <row r="112" spans="1:29" x14ac:dyDescent="0.2">
      <c r="A112" s="4"/>
      <c r="B112" s="4" t="s">
        <v>64</v>
      </c>
      <c r="C112" s="16" t="str">
        <f ca="1">IF($H$10&lt;&gt;"R",IF(DB_TBL_DATA_FIELDS[[#This Row],[SHEET_REF_OWNER]]&lt;&gt;"",DB_TBL_DATA_FIELDS[[#This Row],[SHEET_REF_OWNER]],""),IF(DB_TBL_DATA_FIELDS[[#This Row],[SHEET_REF_RENTAL]]&lt;&gt;"",DB_TBL_DATA_FIELDS[[#This Row],[SHEET_REF_RENTAL]],""))</f>
        <v>RentalApp</v>
      </c>
      <c r="D112" s="89" t="s">
        <v>2612</v>
      </c>
      <c r="E112" s="4" t="b">
        <v>1</v>
      </c>
      <c r="F112" s="25" t="b">
        <v>1</v>
      </c>
      <c r="G112" s="6" t="s">
        <v>2639</v>
      </c>
      <c r="H112" s="11" t="str">
        <f ca="1">IFERROR(VLOOKUP(DB_TBL_DATA_FIELDS[[#This Row],[FIELD_ID]],INDIRECT(DB_TBL_DATA_FIELDS[[#This Row],[SHEET_REF_CALC]]&amp;"!A:B"),2,FALSE),"")</f>
        <v/>
      </c>
      <c r="I112" s="11"/>
      <c r="J112" s="6" t="b">
        <f ca="1">(DB_TBL_DATA_FIELDS[[#This Row],[FIELD_VALUE_RAW]]="")</f>
        <v>1</v>
      </c>
      <c r="K112" s="6" t="s">
        <v>209</v>
      </c>
      <c r="L112" s="8" t="b">
        <f>AND(IF(DB_TBL_DATA_FIELDS[[#This Row],[FIELD_VALID_CUSTOM_LOGIC]]="",TRUE,DB_TBL_DATA_FIELDS[[#This Row],[FIELD_VALID_CUSTOM_LOGIC]]),DB_TBL_DATA_FIELDS[[#This Row],[RANGE_VALIDATION_PASSED_FLAG]])</f>
        <v>1</v>
      </c>
      <c r="M112"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12" s="8">
        <f ca="1">IF(DB_TBL_DATA_FIELDS[[#This Row],[SHEET_REF_CALC]]="","",IF(DB_TBL_DATA_FIELDS[[#This Row],[FIELD_EMPTY_FLAG]],IF(NOT(DB_TBL_DATA_FIELDS[[#This Row],[FIELD_REQ_FLAG]]),-1,1),IF(NOT(DB_TBL_DATA_FIELDS[[#This Row],[FIELD_VALID_FLAG]]),0,2)))</f>
        <v>1</v>
      </c>
      <c r="O112" s="8" t="str">
        <f ca="1">IFERROR(VLOOKUP(DB_TBL_DATA_FIELDS[[#This Row],[FIELD_STATUS_CODE]],DB_TBL_CONFIG_FIELDSTATUSCODES[#All],3,FALSE),"")</f>
        <v>Required</v>
      </c>
      <c r="P112" s="8" t="str">
        <f ca="1">IFERROR(VLOOKUP(DB_TBL_DATA_FIELDS[[#This Row],[FIELD_STATUS_CODE]],DB_TBL_CONFIG_FIELDSTATUSCODES[#All],4,FALSE),"")</f>
        <v>i</v>
      </c>
      <c r="Q112" s="8" t="b">
        <f>TRUE</f>
        <v>1</v>
      </c>
      <c r="R112" s="8" t="b">
        <v>0</v>
      </c>
      <c r="S112" s="4"/>
      <c r="T112" s="8">
        <f ca="1">IF(DB_TBL_DATA_FIELDS[[#This Row],[RANGE_VALIDATION_FLAG]]="Text",LEN(DB_TBL_DATA_FIELDS[[#This Row],[FIELD_VALUE_RAW]]),IFERROR(VALUE(DB_TBL_DATA_FIELDS[[#This Row],[FIELD_VALUE_RAW]]),-1))</f>
        <v>-1</v>
      </c>
      <c r="U112" s="8">
        <v>0</v>
      </c>
      <c r="V112" s="34">
        <v>1</v>
      </c>
      <c r="W112" s="8" t="b">
        <f>IF(NOT(DB_TBL_DATA_FIELDS[[#This Row],[RANGE_VALIDATION_ON_FLAG]]),TRUE,
AND(DB_TBL_DATA_FIELDS[[#This Row],[RANGE_VALUE_LEN]]&gt;=DB_TBL_DATA_FIELDS[[#This Row],[RANGE_VALIDATION_MIN]],DB_TBL_DATA_FIELDS[[#This Row],[RANGE_VALUE_LEN]]&lt;=DB_TBL_DATA_FIELDS[[#This Row],[RANGE_VALIDATION_MAX]]))</f>
        <v>1</v>
      </c>
      <c r="X112" s="8">
        <v>1</v>
      </c>
      <c r="Y112" s="8">
        <f ca="1">IF(DB_TBL_DATA_FIELDS[[#This Row],[PCT_CALC_SHOW_STATUS_CODE]]=1,
DB_TBL_DATA_FIELDS[[#This Row],[FIELD_STATUS_CODE]],
IF(AND(DB_TBL_DATA_FIELDS[[#This Row],[PCT_CALC_SHOW_STATUS_CODE]]=2,DB_TBL_DATA_FIELDS[[#This Row],[FIELD_STATUS_CODE]]=0),
DB_TBL_DATA_FIELDS[[#This Row],[FIELD_STATUS_CODE]],
"")
)</f>
        <v>1</v>
      </c>
      <c r="Z112" s="8"/>
      <c r="AA112" s="11" t="s">
        <v>2622</v>
      </c>
      <c r="AB112" s="11" t="s">
        <v>2630</v>
      </c>
      <c r="AC112" s="8"/>
    </row>
    <row r="113" spans="1:29" x14ac:dyDescent="0.2">
      <c r="A113" s="4"/>
      <c r="B113" s="4" t="s">
        <v>64</v>
      </c>
      <c r="C113" s="16" t="str">
        <f ca="1">IF($H$10&lt;&gt;"R",IF(DB_TBL_DATA_FIELDS[[#This Row],[SHEET_REF_OWNER]]&lt;&gt;"",DB_TBL_DATA_FIELDS[[#This Row],[SHEET_REF_OWNER]],""),IF(DB_TBL_DATA_FIELDS[[#This Row],[SHEET_REF_RENTAL]]&lt;&gt;"",DB_TBL_DATA_FIELDS[[#This Row],[SHEET_REF_RENTAL]],""))</f>
        <v>RentalApp</v>
      </c>
      <c r="D113" s="116" t="s">
        <v>2634</v>
      </c>
      <c r="E113" s="4" t="b">
        <v>1</v>
      </c>
      <c r="F113" s="117" t="b">
        <v>0</v>
      </c>
      <c r="G113" s="116" t="s">
        <v>2638</v>
      </c>
      <c r="H113" s="120"/>
      <c r="I113" s="11"/>
      <c r="J113" s="6" t="b">
        <f>(DB_TBL_DATA_FIELDS[[#This Row],[FIELD_VALUE_RAW]]="")</f>
        <v>1</v>
      </c>
      <c r="K113" s="6" t="s">
        <v>209</v>
      </c>
      <c r="L113" s="8" t="b">
        <f>AND(IF(DB_TBL_DATA_FIELDS[[#This Row],[FIELD_VALID_CUSTOM_LOGIC]]="",TRUE,DB_TBL_DATA_FIELDS[[#This Row],[FIELD_VALID_CUSTOM_LOGIC]]),DB_TBL_DATA_FIELDS[[#This Row],[RANGE_VALIDATION_PASSED_FLAG]])</f>
        <v>1</v>
      </c>
      <c r="M113" s="11"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13" s="8">
        <f ca="1">IF(DB_TBL_DATA_FIELDS[[#This Row],[SHEET_REF_CALC]]="","",IF(DB_TBL_DATA_FIELDS[[#This Row],[FIELD_EMPTY_FLAG]],IF(NOT(DB_TBL_DATA_FIELDS[[#This Row],[FIELD_REQ_FLAG]]),-1,1),IF(NOT(DB_TBL_DATA_FIELDS[[#This Row],[FIELD_VALID_FLAG]]),0,2)))</f>
        <v>-1</v>
      </c>
      <c r="O113" s="8" t="str">
        <f ca="1">IFERROR(VLOOKUP(DB_TBL_DATA_FIELDS[[#This Row],[FIELD_STATUS_CODE]],DB_TBL_CONFIG_FIELDSTATUSCODES[#All],3,FALSE),"")</f>
        <v>Optional</v>
      </c>
      <c r="P113" s="8" t="str">
        <f ca="1">IFERROR(VLOOKUP(DB_TBL_DATA_FIELDS[[#This Row],[FIELD_STATUS_CODE]],DB_TBL_CONFIG_FIELDSTATUSCODES[#All],4,FALSE),"")</f>
        <v xml:space="preserve"> </v>
      </c>
      <c r="Q113" s="8" t="b">
        <f>TRUE</f>
        <v>1</v>
      </c>
      <c r="R113" s="8" t="b">
        <v>0</v>
      </c>
      <c r="S113" s="4"/>
      <c r="T113" s="8">
        <f>IF(DB_TBL_DATA_FIELDS[[#This Row],[RANGE_VALIDATION_FLAG]]="Text",LEN(DB_TBL_DATA_FIELDS[[#This Row],[FIELD_VALUE_RAW]]),IFERROR(VALUE(DB_TBL_DATA_FIELDS[[#This Row],[FIELD_VALUE_RAW]]),-1))</f>
        <v>0</v>
      </c>
      <c r="U113" s="8">
        <v>0</v>
      </c>
      <c r="V113" s="34">
        <v>1</v>
      </c>
      <c r="W113" s="8" t="b">
        <f>IF(NOT(DB_TBL_DATA_FIELDS[[#This Row],[RANGE_VALIDATION_ON_FLAG]]),TRUE,
AND(DB_TBL_DATA_FIELDS[[#This Row],[RANGE_VALUE_LEN]]&gt;=DB_TBL_DATA_FIELDS[[#This Row],[RANGE_VALIDATION_MIN]],DB_TBL_DATA_FIELDS[[#This Row],[RANGE_VALUE_LEN]]&lt;=DB_TBL_DATA_FIELDS[[#This Row],[RANGE_VALIDATION_MAX]]))</f>
        <v>1</v>
      </c>
      <c r="X113" s="8">
        <v>1</v>
      </c>
      <c r="Y113" s="8">
        <f ca="1">IF(DB_TBL_DATA_FIELDS[[#This Row],[PCT_CALC_SHOW_STATUS_CODE]]=1,
DB_TBL_DATA_FIELDS[[#This Row],[FIELD_STATUS_CODE]],
IF(AND(DB_TBL_DATA_FIELDS[[#This Row],[PCT_CALC_SHOW_STATUS_CODE]]=2,DB_TBL_DATA_FIELDS[[#This Row],[FIELD_STATUS_CODE]]=0),
DB_TBL_DATA_FIELDS[[#This Row],[FIELD_STATUS_CODE]],
"")
)</f>
        <v>-1</v>
      </c>
      <c r="Z113" s="8"/>
      <c r="AA113" s="11" t="s">
        <v>2624</v>
      </c>
      <c r="AB113" s="11" t="s">
        <v>2630</v>
      </c>
      <c r="AC113" s="8"/>
    </row>
    <row r="114" spans="1:29" x14ac:dyDescent="0.2">
      <c r="A114" s="4" t="s">
        <v>65</v>
      </c>
      <c r="B114" s="4"/>
      <c r="C114" s="16" t="str">
        <f ca="1">IF($H$10&lt;&gt;"R",IF(DB_TBL_DATA_FIELDS[[#This Row],[SHEET_REF_OWNER]]&lt;&gt;"",DB_TBL_DATA_FIELDS[[#This Row],[SHEET_REF_OWNER]],""),IF(DB_TBL_DATA_FIELDS[[#This Row],[SHEET_REF_RENTAL]]&lt;&gt;"",DB_TBL_DATA_FIELDS[[#This Row],[SHEET_REF_RENTAL]],""))</f>
        <v/>
      </c>
      <c r="D114" s="89" t="s">
        <v>2613</v>
      </c>
      <c r="E114" s="4" t="b">
        <v>1</v>
      </c>
      <c r="F114" s="25" t="b">
        <v>1</v>
      </c>
      <c r="G114" s="6" t="s">
        <v>2640</v>
      </c>
      <c r="H114" s="11" t="str">
        <f ca="1">IFERROR(VLOOKUP(DB_TBL_DATA_FIELDS[[#This Row],[FIELD_ID]],INDIRECT(DB_TBL_DATA_FIELDS[[#This Row],[SHEET_REF_CALC]]&amp;"!A:B"),2,FALSE),"")</f>
        <v/>
      </c>
      <c r="I114" s="11"/>
      <c r="J114" s="6" t="b">
        <f ca="1">(DB_TBL_DATA_FIELDS[[#This Row],[FIELD_VALUE_RAW]]="")</f>
        <v>1</v>
      </c>
      <c r="K114" s="6" t="s">
        <v>209</v>
      </c>
      <c r="L114" s="8" t="b">
        <f>AND(IF(DB_TBL_DATA_FIELDS[[#This Row],[FIELD_VALID_CUSTOM_LOGIC]]="",TRUE,DB_TBL_DATA_FIELDS[[#This Row],[FIELD_VALID_CUSTOM_LOGIC]]),DB_TBL_DATA_FIELDS[[#This Row],[RANGE_VALIDATION_PASSED_FLAG]])</f>
        <v>1</v>
      </c>
      <c r="M114"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14" s="8" t="str">
        <f ca="1">IF(DB_TBL_DATA_FIELDS[[#This Row],[SHEET_REF_CALC]]="","",IF(DB_TBL_DATA_FIELDS[[#This Row],[FIELD_EMPTY_FLAG]],IF(NOT(DB_TBL_DATA_FIELDS[[#This Row],[FIELD_REQ_FLAG]]),-1,1),IF(NOT(DB_TBL_DATA_FIELDS[[#This Row],[FIELD_VALID_FLAG]]),0,2)))</f>
        <v/>
      </c>
      <c r="O114" s="8" t="str">
        <f ca="1">IFERROR(VLOOKUP(DB_TBL_DATA_FIELDS[[#This Row],[FIELD_STATUS_CODE]],DB_TBL_CONFIG_FIELDSTATUSCODES[#All],3,FALSE),"")</f>
        <v/>
      </c>
      <c r="P114" s="8" t="str">
        <f ca="1">IFERROR(VLOOKUP(DB_TBL_DATA_FIELDS[[#This Row],[FIELD_STATUS_CODE]],DB_TBL_CONFIG_FIELDSTATUSCODES[#All],4,FALSE),"")</f>
        <v/>
      </c>
      <c r="Q114" s="8" t="b">
        <f>TRUE</f>
        <v>1</v>
      </c>
      <c r="R114" s="8" t="b">
        <v>0</v>
      </c>
      <c r="S114" s="4"/>
      <c r="T114" s="8">
        <f ca="1">IF(DB_TBL_DATA_FIELDS[[#This Row],[RANGE_VALIDATION_FLAG]]="Text",LEN(DB_TBL_DATA_FIELDS[[#This Row],[FIELD_VALUE_RAW]]),IFERROR(VALUE(DB_TBL_DATA_FIELDS[[#This Row],[FIELD_VALUE_RAW]]),-1))</f>
        <v>-1</v>
      </c>
      <c r="U114" s="8">
        <v>0</v>
      </c>
      <c r="V114" s="34">
        <v>1</v>
      </c>
      <c r="W114" s="8" t="b">
        <f>IF(NOT(DB_TBL_DATA_FIELDS[[#This Row],[RANGE_VALIDATION_ON_FLAG]]),TRUE,
AND(DB_TBL_DATA_FIELDS[[#This Row],[RANGE_VALUE_LEN]]&gt;=DB_TBL_DATA_FIELDS[[#This Row],[RANGE_VALIDATION_MIN]],DB_TBL_DATA_FIELDS[[#This Row],[RANGE_VALUE_LEN]]&lt;=DB_TBL_DATA_FIELDS[[#This Row],[RANGE_VALIDATION_MAX]]))</f>
        <v>1</v>
      </c>
      <c r="X114" s="8">
        <v>1</v>
      </c>
      <c r="Y114" s="8" t="str">
        <f ca="1">IF(DB_TBL_DATA_FIELDS[[#This Row],[PCT_CALC_SHOW_STATUS_CODE]]=1,
DB_TBL_DATA_FIELDS[[#This Row],[FIELD_STATUS_CODE]],
IF(AND(DB_TBL_DATA_FIELDS[[#This Row],[PCT_CALC_SHOW_STATUS_CODE]]=2,DB_TBL_DATA_FIELDS[[#This Row],[FIELD_STATUS_CODE]]=0),
DB_TBL_DATA_FIELDS[[#This Row],[FIELD_STATUS_CODE]],
"")
)</f>
        <v/>
      </c>
      <c r="Z114" s="8"/>
      <c r="AA114" s="11" t="s">
        <v>2625</v>
      </c>
      <c r="AB114" s="11" t="s">
        <v>2630</v>
      </c>
      <c r="AC114" s="8"/>
    </row>
    <row r="115" spans="1:29" x14ac:dyDescent="0.2">
      <c r="A115" s="4" t="s">
        <v>65</v>
      </c>
      <c r="B115" s="4"/>
      <c r="C115" s="16" t="str">
        <f ca="1">IF($H$10&lt;&gt;"R",IF(DB_TBL_DATA_FIELDS[[#This Row],[SHEET_REF_OWNER]]&lt;&gt;"",DB_TBL_DATA_FIELDS[[#This Row],[SHEET_REF_OWNER]],""),IF(DB_TBL_DATA_FIELDS[[#This Row],[SHEET_REF_RENTAL]]&lt;&gt;"",DB_TBL_DATA_FIELDS[[#This Row],[SHEET_REF_RENTAL]],""))</f>
        <v/>
      </c>
      <c r="D115" s="89" t="s">
        <v>2614</v>
      </c>
      <c r="E115" s="4" t="b">
        <v>1</v>
      </c>
      <c r="F115" s="25" t="b">
        <v>1</v>
      </c>
      <c r="G115" s="6" t="s">
        <v>2641</v>
      </c>
      <c r="H115" s="11" t="str">
        <f ca="1">IFERROR(VLOOKUP(DB_TBL_DATA_FIELDS[[#This Row],[FIELD_ID]],INDIRECT(DB_TBL_DATA_FIELDS[[#This Row],[SHEET_REF_CALC]]&amp;"!A:B"),2,FALSE),"")</f>
        <v/>
      </c>
      <c r="I115" s="11"/>
      <c r="J115" s="6" t="b">
        <f ca="1">(DB_TBL_DATA_FIELDS[[#This Row],[FIELD_VALUE_RAW]]="")</f>
        <v>1</v>
      </c>
      <c r="K115" s="6" t="s">
        <v>209</v>
      </c>
      <c r="L115" s="8" t="b">
        <f>AND(IF(DB_TBL_DATA_FIELDS[[#This Row],[FIELD_VALID_CUSTOM_LOGIC]]="",TRUE,DB_TBL_DATA_FIELDS[[#This Row],[FIELD_VALID_CUSTOM_LOGIC]]),DB_TBL_DATA_FIELDS[[#This Row],[RANGE_VALIDATION_PASSED_FLAG]])</f>
        <v>1</v>
      </c>
      <c r="M115"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15" s="8" t="str">
        <f ca="1">IF(DB_TBL_DATA_FIELDS[[#This Row],[SHEET_REF_CALC]]="","",IF(DB_TBL_DATA_FIELDS[[#This Row],[FIELD_EMPTY_FLAG]],IF(NOT(DB_TBL_DATA_FIELDS[[#This Row],[FIELD_REQ_FLAG]]),-1,1),IF(NOT(DB_TBL_DATA_FIELDS[[#This Row],[FIELD_VALID_FLAG]]),0,2)))</f>
        <v/>
      </c>
      <c r="O115" s="8" t="str">
        <f ca="1">IFERROR(VLOOKUP(DB_TBL_DATA_FIELDS[[#This Row],[FIELD_STATUS_CODE]],DB_TBL_CONFIG_FIELDSTATUSCODES[#All],3,FALSE),"")</f>
        <v/>
      </c>
      <c r="P115" s="8" t="str">
        <f ca="1">IFERROR(VLOOKUP(DB_TBL_DATA_FIELDS[[#This Row],[FIELD_STATUS_CODE]],DB_TBL_CONFIG_FIELDSTATUSCODES[#All],4,FALSE),"")</f>
        <v/>
      </c>
      <c r="Q115" s="8" t="b">
        <f>TRUE</f>
        <v>1</v>
      </c>
      <c r="R115" s="8" t="b">
        <v>0</v>
      </c>
      <c r="S115" s="4"/>
      <c r="T115" s="8">
        <f ca="1">IF(DB_TBL_DATA_FIELDS[[#This Row],[RANGE_VALIDATION_FLAG]]="Text",LEN(DB_TBL_DATA_FIELDS[[#This Row],[FIELD_VALUE_RAW]]),IFERROR(VALUE(DB_TBL_DATA_FIELDS[[#This Row],[FIELD_VALUE_RAW]]),-1))</f>
        <v>-1</v>
      </c>
      <c r="U115" s="8">
        <v>0</v>
      </c>
      <c r="V115" s="34">
        <v>1</v>
      </c>
      <c r="W115" s="8" t="b">
        <f>IF(NOT(DB_TBL_DATA_FIELDS[[#This Row],[RANGE_VALIDATION_ON_FLAG]]),TRUE,
AND(DB_TBL_DATA_FIELDS[[#This Row],[RANGE_VALUE_LEN]]&gt;=DB_TBL_DATA_FIELDS[[#This Row],[RANGE_VALIDATION_MIN]],DB_TBL_DATA_FIELDS[[#This Row],[RANGE_VALUE_LEN]]&lt;=DB_TBL_DATA_FIELDS[[#This Row],[RANGE_VALIDATION_MAX]]))</f>
        <v>1</v>
      </c>
      <c r="X115" s="8">
        <v>1</v>
      </c>
      <c r="Y115" s="8" t="str">
        <f ca="1">IF(DB_TBL_DATA_FIELDS[[#This Row],[PCT_CALC_SHOW_STATUS_CODE]]=1,
DB_TBL_DATA_FIELDS[[#This Row],[FIELD_STATUS_CODE]],
IF(AND(DB_TBL_DATA_FIELDS[[#This Row],[PCT_CALC_SHOW_STATUS_CODE]]=2,DB_TBL_DATA_FIELDS[[#This Row],[FIELD_STATUS_CODE]]=0),
DB_TBL_DATA_FIELDS[[#This Row],[FIELD_STATUS_CODE]],
"")
)</f>
        <v/>
      </c>
      <c r="Z115" s="8"/>
      <c r="AA115" s="11" t="s">
        <v>2626</v>
      </c>
      <c r="AB115" s="11" t="s">
        <v>2630</v>
      </c>
      <c r="AC115" s="8"/>
    </row>
    <row r="116" spans="1:29" x14ac:dyDescent="0.2">
      <c r="A116" s="4" t="s">
        <v>65</v>
      </c>
      <c r="B116" s="4"/>
      <c r="C116" s="16" t="str">
        <f ca="1">IF($H$10&lt;&gt;"R",IF(DB_TBL_DATA_FIELDS[[#This Row],[SHEET_REF_OWNER]]&lt;&gt;"",DB_TBL_DATA_FIELDS[[#This Row],[SHEET_REF_OWNER]],""),IF(DB_TBL_DATA_FIELDS[[#This Row],[SHEET_REF_RENTAL]]&lt;&gt;"",DB_TBL_DATA_FIELDS[[#This Row],[SHEET_REF_RENTAL]],""))</f>
        <v/>
      </c>
      <c r="D116" s="89" t="s">
        <v>2615</v>
      </c>
      <c r="E116" s="4" t="b">
        <v>1</v>
      </c>
      <c r="F116" s="25" t="b">
        <v>1</v>
      </c>
      <c r="G116" s="6" t="s">
        <v>2642</v>
      </c>
      <c r="H116" s="11" t="str">
        <f ca="1">IFERROR(VLOOKUP(DB_TBL_DATA_FIELDS[[#This Row],[FIELD_ID]],INDIRECT(DB_TBL_DATA_FIELDS[[#This Row],[SHEET_REF_CALC]]&amp;"!A:B"),2,FALSE),"")</f>
        <v/>
      </c>
      <c r="I116" s="11"/>
      <c r="J116" s="6" t="b">
        <f ca="1">(DB_TBL_DATA_FIELDS[[#This Row],[FIELD_VALUE_RAW]]="")</f>
        <v>1</v>
      </c>
      <c r="K116" s="6" t="s">
        <v>209</v>
      </c>
      <c r="L116" s="8" t="b">
        <f>AND(IF(DB_TBL_DATA_FIELDS[[#This Row],[FIELD_VALID_CUSTOM_LOGIC]]="",TRUE,DB_TBL_DATA_FIELDS[[#This Row],[FIELD_VALID_CUSTOM_LOGIC]]),DB_TBL_DATA_FIELDS[[#This Row],[RANGE_VALIDATION_PASSED_FLAG]])</f>
        <v>1</v>
      </c>
      <c r="M116"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16" s="8" t="str">
        <f ca="1">IF(DB_TBL_DATA_FIELDS[[#This Row],[SHEET_REF_CALC]]="","",IF(DB_TBL_DATA_FIELDS[[#This Row],[FIELD_EMPTY_FLAG]],IF(NOT(DB_TBL_DATA_FIELDS[[#This Row],[FIELD_REQ_FLAG]]),-1,1),IF(NOT(DB_TBL_DATA_FIELDS[[#This Row],[FIELD_VALID_FLAG]]),0,2)))</f>
        <v/>
      </c>
      <c r="O116" s="8" t="str">
        <f ca="1">IFERROR(VLOOKUP(DB_TBL_DATA_FIELDS[[#This Row],[FIELD_STATUS_CODE]],DB_TBL_CONFIG_FIELDSTATUSCODES[#All],3,FALSE),"")</f>
        <v/>
      </c>
      <c r="P116" s="8" t="str">
        <f ca="1">IFERROR(VLOOKUP(DB_TBL_DATA_FIELDS[[#This Row],[FIELD_STATUS_CODE]],DB_TBL_CONFIG_FIELDSTATUSCODES[#All],4,FALSE),"")</f>
        <v/>
      </c>
      <c r="Q116" s="8" t="b">
        <f>TRUE</f>
        <v>1</v>
      </c>
      <c r="R116" s="8" t="b">
        <v>0</v>
      </c>
      <c r="S116" s="4"/>
      <c r="T116" s="8">
        <f ca="1">IF(DB_TBL_DATA_FIELDS[[#This Row],[RANGE_VALIDATION_FLAG]]="Text",LEN(DB_TBL_DATA_FIELDS[[#This Row],[FIELD_VALUE_RAW]]),IFERROR(VALUE(DB_TBL_DATA_FIELDS[[#This Row],[FIELD_VALUE_RAW]]),-1))</f>
        <v>-1</v>
      </c>
      <c r="U116" s="8">
        <v>0</v>
      </c>
      <c r="V116" s="34">
        <v>1</v>
      </c>
      <c r="W116" s="8" t="b">
        <f>IF(NOT(DB_TBL_DATA_FIELDS[[#This Row],[RANGE_VALIDATION_ON_FLAG]]),TRUE,
AND(DB_TBL_DATA_FIELDS[[#This Row],[RANGE_VALUE_LEN]]&gt;=DB_TBL_DATA_FIELDS[[#This Row],[RANGE_VALIDATION_MIN]],DB_TBL_DATA_FIELDS[[#This Row],[RANGE_VALUE_LEN]]&lt;=DB_TBL_DATA_FIELDS[[#This Row],[RANGE_VALIDATION_MAX]]))</f>
        <v>1</v>
      </c>
      <c r="X116" s="8">
        <v>1</v>
      </c>
      <c r="Y116" s="8" t="str">
        <f ca="1">IF(DB_TBL_DATA_FIELDS[[#This Row],[PCT_CALC_SHOW_STATUS_CODE]]=1,
DB_TBL_DATA_FIELDS[[#This Row],[FIELD_STATUS_CODE]],
IF(AND(DB_TBL_DATA_FIELDS[[#This Row],[PCT_CALC_SHOW_STATUS_CODE]]=2,DB_TBL_DATA_FIELDS[[#This Row],[FIELD_STATUS_CODE]]=0),
DB_TBL_DATA_FIELDS[[#This Row],[FIELD_STATUS_CODE]],
"")
)</f>
        <v/>
      </c>
      <c r="Z116" s="8"/>
      <c r="AA116" s="11" t="s">
        <v>2627</v>
      </c>
      <c r="AB116" s="11" t="s">
        <v>2630</v>
      </c>
      <c r="AC116" s="8"/>
    </row>
    <row r="117" spans="1:29" x14ac:dyDescent="0.2">
      <c r="A117" s="4" t="s">
        <v>65</v>
      </c>
      <c r="B117" s="4"/>
      <c r="C117" s="16" t="str">
        <f ca="1">IF($H$10&lt;&gt;"R",IF(DB_TBL_DATA_FIELDS[[#This Row],[SHEET_REF_OWNER]]&lt;&gt;"",DB_TBL_DATA_FIELDS[[#This Row],[SHEET_REF_OWNER]],""),IF(DB_TBL_DATA_FIELDS[[#This Row],[SHEET_REF_RENTAL]]&lt;&gt;"",DB_TBL_DATA_FIELDS[[#This Row],[SHEET_REF_RENTAL]],""))</f>
        <v/>
      </c>
      <c r="D117" s="89" t="s">
        <v>2616</v>
      </c>
      <c r="E117" s="4" t="b">
        <v>1</v>
      </c>
      <c r="F117" s="25" t="b">
        <v>1</v>
      </c>
      <c r="G117" s="6" t="s">
        <v>2643</v>
      </c>
      <c r="H117" s="11" t="str">
        <f ca="1">IFERROR(VLOOKUP(DB_TBL_DATA_FIELDS[[#This Row],[FIELD_ID]],INDIRECT(DB_TBL_DATA_FIELDS[[#This Row],[SHEET_REF_CALC]]&amp;"!A:B"),2,FALSE),"")</f>
        <v/>
      </c>
      <c r="I117" s="11"/>
      <c r="J117" s="6" t="b">
        <f ca="1">(DB_TBL_DATA_FIELDS[[#This Row],[FIELD_VALUE_RAW]]="")</f>
        <v>1</v>
      </c>
      <c r="K117" s="6" t="s">
        <v>209</v>
      </c>
      <c r="L117" s="8" t="b">
        <f>AND(IF(DB_TBL_DATA_FIELDS[[#This Row],[FIELD_VALID_CUSTOM_LOGIC]]="",TRUE,DB_TBL_DATA_FIELDS[[#This Row],[FIELD_VALID_CUSTOM_LOGIC]]),DB_TBL_DATA_FIELDS[[#This Row],[RANGE_VALIDATION_PASSED_FLAG]])</f>
        <v>1</v>
      </c>
      <c r="M117"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17" s="8" t="str">
        <f ca="1">IF(DB_TBL_DATA_FIELDS[[#This Row],[SHEET_REF_CALC]]="","",IF(DB_TBL_DATA_FIELDS[[#This Row],[FIELD_EMPTY_FLAG]],IF(NOT(DB_TBL_DATA_FIELDS[[#This Row],[FIELD_REQ_FLAG]]),-1,1),IF(NOT(DB_TBL_DATA_FIELDS[[#This Row],[FIELD_VALID_FLAG]]),0,2)))</f>
        <v/>
      </c>
      <c r="O117" s="8" t="str">
        <f ca="1">IFERROR(VLOOKUP(DB_TBL_DATA_FIELDS[[#This Row],[FIELD_STATUS_CODE]],DB_TBL_CONFIG_FIELDSTATUSCODES[#All],3,FALSE),"")</f>
        <v/>
      </c>
      <c r="P117" s="8" t="str">
        <f ca="1">IFERROR(VLOOKUP(DB_TBL_DATA_FIELDS[[#This Row],[FIELD_STATUS_CODE]],DB_TBL_CONFIG_FIELDSTATUSCODES[#All],4,FALSE),"")</f>
        <v/>
      </c>
      <c r="Q117" s="8" t="b">
        <f>TRUE</f>
        <v>1</v>
      </c>
      <c r="R117" s="8" t="b">
        <v>0</v>
      </c>
      <c r="S117" s="4"/>
      <c r="T117" s="8">
        <f ca="1">IF(DB_TBL_DATA_FIELDS[[#This Row],[RANGE_VALIDATION_FLAG]]="Text",LEN(DB_TBL_DATA_FIELDS[[#This Row],[FIELD_VALUE_RAW]]),IFERROR(VALUE(DB_TBL_DATA_FIELDS[[#This Row],[FIELD_VALUE_RAW]]),-1))</f>
        <v>-1</v>
      </c>
      <c r="U117" s="8">
        <v>0</v>
      </c>
      <c r="V117" s="34">
        <v>1</v>
      </c>
      <c r="W117" s="8" t="b">
        <f>IF(NOT(DB_TBL_DATA_FIELDS[[#This Row],[RANGE_VALIDATION_ON_FLAG]]),TRUE,
AND(DB_TBL_DATA_FIELDS[[#This Row],[RANGE_VALUE_LEN]]&gt;=DB_TBL_DATA_FIELDS[[#This Row],[RANGE_VALIDATION_MIN]],DB_TBL_DATA_FIELDS[[#This Row],[RANGE_VALUE_LEN]]&lt;=DB_TBL_DATA_FIELDS[[#This Row],[RANGE_VALIDATION_MAX]]))</f>
        <v>1</v>
      </c>
      <c r="X117" s="8">
        <v>1</v>
      </c>
      <c r="Y117" s="8" t="str">
        <f ca="1">IF(DB_TBL_DATA_FIELDS[[#This Row],[PCT_CALC_SHOW_STATUS_CODE]]=1,
DB_TBL_DATA_FIELDS[[#This Row],[FIELD_STATUS_CODE]],
IF(AND(DB_TBL_DATA_FIELDS[[#This Row],[PCT_CALC_SHOW_STATUS_CODE]]=2,DB_TBL_DATA_FIELDS[[#This Row],[FIELD_STATUS_CODE]]=0),
DB_TBL_DATA_FIELDS[[#This Row],[FIELD_STATUS_CODE]],
"")
)</f>
        <v/>
      </c>
      <c r="Z117" s="8"/>
      <c r="AA117" s="11" t="s">
        <v>2628</v>
      </c>
      <c r="AB117" s="11" t="s">
        <v>2630</v>
      </c>
      <c r="AC117" s="8"/>
    </row>
    <row r="118" spans="1:29" ht="13.5" thickBot="1" x14ac:dyDescent="0.25">
      <c r="A118" s="67" t="s">
        <v>65</v>
      </c>
      <c r="B118" s="67"/>
      <c r="C118" s="69" t="str">
        <f ca="1">IF($H$10&lt;&gt;"R",IF(DB_TBL_DATA_FIELDS[[#This Row],[SHEET_REF_OWNER]]&lt;&gt;"",DB_TBL_DATA_FIELDS[[#This Row],[SHEET_REF_OWNER]],""),IF(DB_TBL_DATA_FIELDS[[#This Row],[SHEET_REF_RENTAL]]&lt;&gt;"",DB_TBL_DATA_FIELDS[[#This Row],[SHEET_REF_RENTAL]],""))</f>
        <v/>
      </c>
      <c r="D118" s="89" t="s">
        <v>2617</v>
      </c>
      <c r="E118" s="67" t="b">
        <v>1</v>
      </c>
      <c r="F118" s="71" t="b">
        <v>1</v>
      </c>
      <c r="G118" s="72" t="s">
        <v>2644</v>
      </c>
      <c r="H118" s="73" t="str">
        <f ca="1">IFERROR(VLOOKUP(DB_TBL_DATA_FIELDS[[#This Row],[FIELD_ID]],INDIRECT(DB_TBL_DATA_FIELDS[[#This Row],[SHEET_REF_CALC]]&amp;"!A:B"),2,FALSE),"")</f>
        <v/>
      </c>
      <c r="I118" s="73"/>
      <c r="J118" s="72" t="b">
        <f ca="1">(DB_TBL_DATA_FIELDS[[#This Row],[FIELD_VALUE_RAW]]="")</f>
        <v>1</v>
      </c>
      <c r="K118" s="72" t="s">
        <v>209</v>
      </c>
      <c r="L118" s="68" t="b">
        <f>AND(IF(DB_TBL_DATA_FIELDS[[#This Row],[FIELD_VALID_CUSTOM_LOGIC]]="",TRUE,DB_TBL_DATA_FIELDS[[#This Row],[FIELD_VALID_CUSTOM_LOGIC]]),DB_TBL_DATA_FIELDS[[#This Row],[RANGE_VALIDATION_PASSED_FLAG]])</f>
        <v>1</v>
      </c>
      <c r="M118" s="7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18" s="68" t="str">
        <f ca="1">IF(DB_TBL_DATA_FIELDS[[#This Row],[SHEET_REF_CALC]]="","",IF(DB_TBL_DATA_FIELDS[[#This Row],[FIELD_EMPTY_FLAG]],IF(NOT(DB_TBL_DATA_FIELDS[[#This Row],[FIELD_REQ_FLAG]]),-1,1),IF(NOT(DB_TBL_DATA_FIELDS[[#This Row],[FIELD_VALID_FLAG]]),0,2)))</f>
        <v/>
      </c>
      <c r="O118" s="68" t="str">
        <f ca="1">IFERROR(VLOOKUP(DB_TBL_DATA_FIELDS[[#This Row],[FIELD_STATUS_CODE]],DB_TBL_CONFIG_FIELDSTATUSCODES[#All],3,FALSE),"")</f>
        <v/>
      </c>
      <c r="P118" s="68" t="str">
        <f ca="1">IFERROR(VLOOKUP(DB_TBL_DATA_FIELDS[[#This Row],[FIELD_STATUS_CODE]],DB_TBL_CONFIG_FIELDSTATUSCODES[#All],4,FALSE),"")</f>
        <v/>
      </c>
      <c r="Q118" s="68" t="b">
        <f>TRUE</f>
        <v>1</v>
      </c>
      <c r="R118" s="68" t="b">
        <v>0</v>
      </c>
      <c r="S118" s="67"/>
      <c r="T118" s="68">
        <f ca="1">IF(DB_TBL_DATA_FIELDS[[#This Row],[RANGE_VALIDATION_FLAG]]="Text",LEN(DB_TBL_DATA_FIELDS[[#This Row],[FIELD_VALUE_RAW]]),IFERROR(VALUE(DB_TBL_DATA_FIELDS[[#This Row],[FIELD_VALUE_RAW]]),-1))</f>
        <v>-1</v>
      </c>
      <c r="U118" s="68">
        <v>0</v>
      </c>
      <c r="V118" s="81">
        <v>1</v>
      </c>
      <c r="W118" s="68" t="b">
        <f>IF(NOT(DB_TBL_DATA_FIELDS[[#This Row],[RANGE_VALIDATION_ON_FLAG]]),TRUE,
AND(DB_TBL_DATA_FIELDS[[#This Row],[RANGE_VALUE_LEN]]&gt;=DB_TBL_DATA_FIELDS[[#This Row],[RANGE_VALIDATION_MIN]],DB_TBL_DATA_FIELDS[[#This Row],[RANGE_VALUE_LEN]]&lt;=DB_TBL_DATA_FIELDS[[#This Row],[RANGE_VALIDATION_MAX]]))</f>
        <v>1</v>
      </c>
      <c r="X118" s="68">
        <v>1</v>
      </c>
      <c r="Y118" s="68" t="str">
        <f ca="1">IF(DB_TBL_DATA_FIELDS[[#This Row],[PCT_CALC_SHOW_STATUS_CODE]]=1,
DB_TBL_DATA_FIELDS[[#This Row],[FIELD_STATUS_CODE]],
IF(AND(DB_TBL_DATA_FIELDS[[#This Row],[PCT_CALC_SHOW_STATUS_CODE]]=2,DB_TBL_DATA_FIELDS[[#This Row],[FIELD_STATUS_CODE]]=0),
DB_TBL_DATA_FIELDS[[#This Row],[FIELD_STATUS_CODE]],
"")
)</f>
        <v/>
      </c>
      <c r="Z118" s="68"/>
      <c r="AA118" s="73" t="s">
        <v>2629</v>
      </c>
      <c r="AB118" s="73" t="s">
        <v>2630</v>
      </c>
      <c r="AC118" s="68"/>
    </row>
    <row r="119" spans="1:29" x14ac:dyDescent="0.2">
      <c r="A119" s="4" t="s">
        <v>65</v>
      </c>
      <c r="B119" s="4" t="s">
        <v>64</v>
      </c>
      <c r="C119" s="16" t="str">
        <f ca="1">IF($H$10&lt;&gt;"R",IF(DB_TBL_DATA_FIELDS[[#This Row],[SHEET_REF_OWNER]]&lt;&gt;"",DB_TBL_DATA_FIELDS[[#This Row],[SHEET_REF_OWNER]],""),IF(DB_TBL_DATA_FIELDS[[#This Row],[SHEET_REF_RENTAL]]&lt;&gt;"",DB_TBL_DATA_FIELDS[[#This Row],[SHEET_REF_RENTAL]],""))</f>
        <v>RentalApp</v>
      </c>
      <c r="D119" s="4" t="s">
        <v>2688</v>
      </c>
      <c r="E119" s="4" t="b">
        <v>1</v>
      </c>
      <c r="F119" s="25" t="b">
        <v>1</v>
      </c>
      <c r="G119" s="6" t="s">
        <v>2661</v>
      </c>
      <c r="H119" s="11" t="str">
        <f ca="1">IFERROR(VLOOKUP(DB_TBL_DATA_FIELDS[[#This Row],[FIELD_ID]],INDIRECT(DB_TBL_DATA_FIELDS[[#This Row],[SHEET_REF_CALC]]&amp;"!A:B"),2,FALSE),"")</f>
        <v/>
      </c>
      <c r="I119" s="11"/>
      <c r="J119" s="6" t="b">
        <f ca="1">(DB_TBL_DATA_FIELDS[[#This Row],[FIELD_VALUE_RAW]]="")</f>
        <v>1</v>
      </c>
      <c r="K119" s="6" t="s">
        <v>209</v>
      </c>
      <c r="L119" s="8" t="b">
        <f>AND(IF(DB_TBL_DATA_FIELDS[[#This Row],[FIELD_VALID_CUSTOM_LOGIC]]="",TRUE,DB_TBL_DATA_FIELDS[[#This Row],[FIELD_VALID_CUSTOM_LOGIC]]),DB_TBL_DATA_FIELDS[[#This Row],[RANGE_VALIDATION_PASSED_FLAG]])</f>
        <v>1</v>
      </c>
      <c r="M119"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19" s="8">
        <f ca="1">IF(DB_TBL_DATA_FIELDS[[#This Row],[SHEET_REF_CALC]]="","",IF(DB_TBL_DATA_FIELDS[[#This Row],[FIELD_EMPTY_FLAG]],IF(NOT(DB_TBL_DATA_FIELDS[[#This Row],[FIELD_REQ_FLAG]]),-1,1),IF(NOT(DB_TBL_DATA_FIELDS[[#This Row],[FIELD_VALID_FLAG]]),0,2)))</f>
        <v>1</v>
      </c>
      <c r="O119" s="8" t="str">
        <f ca="1">IFERROR(VLOOKUP(DB_TBL_DATA_FIELDS[[#This Row],[FIELD_STATUS_CODE]],DB_TBL_CONFIG_FIELDSTATUSCODES[#All],3,FALSE),"")</f>
        <v>Required</v>
      </c>
      <c r="P119" s="8" t="str">
        <f ca="1">IFERROR(VLOOKUP(DB_TBL_DATA_FIELDS[[#This Row],[FIELD_STATUS_CODE]],DB_TBL_CONFIG_FIELDSTATUSCODES[#All],4,FALSE),"")</f>
        <v>i</v>
      </c>
      <c r="Q119" s="8" t="b">
        <f>TRUE</f>
        <v>1</v>
      </c>
      <c r="R119" s="8" t="b">
        <v>0</v>
      </c>
      <c r="S119" s="4"/>
      <c r="T119" s="8">
        <f ca="1">IF(DB_TBL_DATA_FIELDS[[#This Row],[RANGE_VALIDATION_FLAG]]="Text",LEN(DB_TBL_DATA_FIELDS[[#This Row],[FIELD_VALUE_RAW]]),IFERROR(VALUE(DB_TBL_DATA_FIELDS[[#This Row],[FIELD_VALUE_RAW]]),-1))</f>
        <v>-1</v>
      </c>
      <c r="U119" s="8">
        <v>0</v>
      </c>
      <c r="V119" s="34">
        <v>1</v>
      </c>
      <c r="W119" s="8" t="b">
        <f>IF(NOT(DB_TBL_DATA_FIELDS[[#This Row],[RANGE_VALIDATION_ON_FLAG]]),TRUE,
AND(DB_TBL_DATA_FIELDS[[#This Row],[RANGE_VALUE_LEN]]&gt;=DB_TBL_DATA_FIELDS[[#This Row],[RANGE_VALIDATION_MIN]],DB_TBL_DATA_FIELDS[[#This Row],[RANGE_VALUE_LEN]]&lt;=DB_TBL_DATA_FIELDS[[#This Row],[RANGE_VALIDATION_MAX]]))</f>
        <v>1</v>
      </c>
      <c r="X119" s="8">
        <v>1</v>
      </c>
      <c r="Y119" s="8">
        <f ca="1">IF(DB_TBL_DATA_FIELDS[[#This Row],[PCT_CALC_SHOW_STATUS_CODE]]=1,
DB_TBL_DATA_FIELDS[[#This Row],[FIELD_STATUS_CODE]],
IF(AND(DB_TBL_DATA_FIELDS[[#This Row],[PCT_CALC_SHOW_STATUS_CODE]]=2,DB_TBL_DATA_FIELDS[[#This Row],[FIELD_STATUS_CODE]]=0),
DB_TBL_DATA_FIELDS[[#This Row],[FIELD_STATUS_CODE]],
"")
)</f>
        <v>1</v>
      </c>
      <c r="Z119" s="8"/>
      <c r="AA119" s="11" t="s">
        <v>2674</v>
      </c>
      <c r="AB119" s="11" t="s">
        <v>2687</v>
      </c>
      <c r="AC119" s="8"/>
    </row>
    <row r="120" spans="1:29" x14ac:dyDescent="0.2">
      <c r="A120" s="4" t="s">
        <v>65</v>
      </c>
      <c r="B120" s="4" t="s">
        <v>64</v>
      </c>
      <c r="C120" s="16" t="str">
        <f ca="1">IF($H$10&lt;&gt;"R",IF(DB_TBL_DATA_FIELDS[[#This Row],[SHEET_REF_OWNER]]&lt;&gt;"",DB_TBL_DATA_FIELDS[[#This Row],[SHEET_REF_OWNER]],""),IF(DB_TBL_DATA_FIELDS[[#This Row],[SHEET_REF_RENTAL]]&lt;&gt;"",DB_TBL_DATA_FIELDS[[#This Row],[SHEET_REF_RENTAL]],""))</f>
        <v>RentalApp</v>
      </c>
      <c r="D120" s="4" t="s">
        <v>2689</v>
      </c>
      <c r="E120" s="4" t="b">
        <v>0</v>
      </c>
      <c r="F120" s="25" t="b">
        <v>1</v>
      </c>
      <c r="G120" s="6" t="s">
        <v>2662</v>
      </c>
      <c r="H120" s="11" t="str">
        <f ca="1">IFERROR(VLOOKUP(DB_TBL_DATA_FIELDS[[#This Row],[FIELD_ID]],INDIRECT(DB_TBL_DATA_FIELDS[[#This Row],[SHEET_REF_CALC]]&amp;"!A:B"),2,FALSE),"")</f>
        <v/>
      </c>
      <c r="I120" s="11"/>
      <c r="J120" s="6" t="b">
        <f ca="1">(DB_TBL_DATA_FIELDS[[#This Row],[FIELD_VALUE_RAW]]="")</f>
        <v>1</v>
      </c>
      <c r="K120" s="6" t="s">
        <v>209</v>
      </c>
      <c r="L120" s="8" t="b">
        <f>AND(IF(DB_TBL_DATA_FIELDS[[#This Row],[FIELD_VALID_CUSTOM_LOGIC]]="",TRUE,DB_TBL_DATA_FIELDS[[#This Row],[FIELD_VALID_CUSTOM_LOGIC]]),DB_TBL_DATA_FIELDS[[#This Row],[RANGE_VALIDATION_PASSED_FLAG]])</f>
        <v>1</v>
      </c>
      <c r="M120"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20" s="8">
        <f ca="1">IF(DB_TBL_DATA_FIELDS[[#This Row],[SHEET_REF_CALC]]="","",IF(DB_TBL_DATA_FIELDS[[#This Row],[FIELD_EMPTY_FLAG]],IF(NOT(DB_TBL_DATA_FIELDS[[#This Row],[FIELD_REQ_FLAG]]),-1,1),IF(NOT(DB_TBL_DATA_FIELDS[[#This Row],[FIELD_VALID_FLAG]]),0,2)))</f>
        <v>1</v>
      </c>
      <c r="O120" s="8" t="str">
        <f ca="1">IFERROR(VLOOKUP(DB_TBL_DATA_FIELDS[[#This Row],[FIELD_STATUS_CODE]],DB_TBL_CONFIG_FIELDSTATUSCODES[#All],3,FALSE),"")</f>
        <v>Required</v>
      </c>
      <c r="P120" s="8" t="str">
        <f ca="1">IFERROR(VLOOKUP(DB_TBL_DATA_FIELDS[[#This Row],[FIELD_STATUS_CODE]],DB_TBL_CONFIG_FIELDSTATUSCODES[#All],4,FALSE),"")</f>
        <v>i</v>
      </c>
      <c r="Q120" s="8" t="b">
        <f>TRUE</f>
        <v>1</v>
      </c>
      <c r="R120" s="8" t="b">
        <v>0</v>
      </c>
      <c r="S120" s="4"/>
      <c r="T120" s="8">
        <f ca="1">IF(DB_TBL_DATA_FIELDS[[#This Row],[RANGE_VALIDATION_FLAG]]="Text",LEN(DB_TBL_DATA_FIELDS[[#This Row],[FIELD_VALUE_RAW]]),IFERROR(VALUE(DB_TBL_DATA_FIELDS[[#This Row],[FIELD_VALUE_RAW]]),-1))</f>
        <v>-1</v>
      </c>
      <c r="U120" s="8">
        <v>0</v>
      </c>
      <c r="V120" s="34">
        <v>1</v>
      </c>
      <c r="W120" s="8" t="b">
        <f>IF(NOT(DB_TBL_DATA_FIELDS[[#This Row],[RANGE_VALIDATION_ON_FLAG]]),TRUE,
AND(DB_TBL_DATA_FIELDS[[#This Row],[RANGE_VALUE_LEN]]&gt;=DB_TBL_DATA_FIELDS[[#This Row],[RANGE_VALIDATION_MIN]],DB_TBL_DATA_FIELDS[[#This Row],[RANGE_VALUE_LEN]]&lt;=DB_TBL_DATA_FIELDS[[#This Row],[RANGE_VALIDATION_MAX]]))</f>
        <v>1</v>
      </c>
      <c r="X120" s="8">
        <v>1</v>
      </c>
      <c r="Y120" s="8">
        <f ca="1">IF(DB_TBL_DATA_FIELDS[[#This Row],[PCT_CALC_SHOW_STATUS_CODE]]=1,
DB_TBL_DATA_FIELDS[[#This Row],[FIELD_STATUS_CODE]],
IF(AND(DB_TBL_DATA_FIELDS[[#This Row],[PCT_CALC_SHOW_STATUS_CODE]]=2,DB_TBL_DATA_FIELDS[[#This Row],[FIELD_STATUS_CODE]]=0),
DB_TBL_DATA_FIELDS[[#This Row],[FIELD_STATUS_CODE]],
"")
)</f>
        <v>1</v>
      </c>
      <c r="Z120" s="8"/>
      <c r="AA120" s="11" t="s">
        <v>2675</v>
      </c>
      <c r="AB120" s="11" t="s">
        <v>2687</v>
      </c>
      <c r="AC120" s="8"/>
    </row>
    <row r="121" spans="1:29" x14ac:dyDescent="0.2">
      <c r="A121" s="4" t="s">
        <v>65</v>
      </c>
      <c r="B121" s="4" t="s">
        <v>64</v>
      </c>
      <c r="C121" s="16" t="str">
        <f ca="1">IF($H$10&lt;&gt;"R",IF(DB_TBL_DATA_FIELDS[[#This Row],[SHEET_REF_OWNER]]&lt;&gt;"",DB_TBL_DATA_FIELDS[[#This Row],[SHEET_REF_OWNER]],""),IF(DB_TBL_DATA_FIELDS[[#This Row],[SHEET_REF_RENTAL]]&lt;&gt;"",DB_TBL_DATA_FIELDS[[#This Row],[SHEET_REF_RENTAL]],""))</f>
        <v>RentalApp</v>
      </c>
      <c r="D121" s="4" t="s">
        <v>2690</v>
      </c>
      <c r="E121" s="4" t="b">
        <v>0</v>
      </c>
      <c r="F121" s="25" t="b">
        <v>1</v>
      </c>
      <c r="G121" s="6" t="s">
        <v>2663</v>
      </c>
      <c r="H121" s="11" t="str">
        <f ca="1">IFERROR(VLOOKUP(DB_TBL_DATA_FIELDS[[#This Row],[FIELD_ID]],INDIRECT(DB_TBL_DATA_FIELDS[[#This Row],[SHEET_REF_CALC]]&amp;"!A:B"),2,FALSE),"")</f>
        <v/>
      </c>
      <c r="I121" s="11"/>
      <c r="J121" s="6" t="b">
        <f ca="1">(DB_TBL_DATA_FIELDS[[#This Row],[FIELD_VALUE_RAW]]="")</f>
        <v>1</v>
      </c>
      <c r="K121" s="6" t="s">
        <v>209</v>
      </c>
      <c r="L121" s="8" t="b">
        <f>AND(IF(DB_TBL_DATA_FIELDS[[#This Row],[FIELD_VALID_CUSTOM_LOGIC]]="",TRUE,DB_TBL_DATA_FIELDS[[#This Row],[FIELD_VALID_CUSTOM_LOGIC]]),DB_TBL_DATA_FIELDS[[#This Row],[RANGE_VALIDATION_PASSED_FLAG]])</f>
        <v>1</v>
      </c>
      <c r="M121"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21" s="8">
        <f ca="1">IF(DB_TBL_DATA_FIELDS[[#This Row],[SHEET_REF_CALC]]="","",IF(DB_TBL_DATA_FIELDS[[#This Row],[FIELD_EMPTY_FLAG]],IF(NOT(DB_TBL_DATA_FIELDS[[#This Row],[FIELD_REQ_FLAG]]),-1,1),IF(NOT(DB_TBL_DATA_FIELDS[[#This Row],[FIELD_VALID_FLAG]]),0,2)))</f>
        <v>1</v>
      </c>
      <c r="O121" s="8" t="str">
        <f ca="1">IFERROR(VLOOKUP(DB_TBL_DATA_FIELDS[[#This Row],[FIELD_STATUS_CODE]],DB_TBL_CONFIG_FIELDSTATUSCODES[#All],3,FALSE),"")</f>
        <v>Required</v>
      </c>
      <c r="P121" s="8" t="str">
        <f ca="1">IFERROR(VLOOKUP(DB_TBL_DATA_FIELDS[[#This Row],[FIELD_STATUS_CODE]],DB_TBL_CONFIG_FIELDSTATUSCODES[#All],4,FALSE),"")</f>
        <v>i</v>
      </c>
      <c r="Q121" s="8" t="b">
        <f>TRUE</f>
        <v>1</v>
      </c>
      <c r="R121" s="8" t="b">
        <v>0</v>
      </c>
      <c r="S121" s="4"/>
      <c r="T121" s="8">
        <f ca="1">IF(DB_TBL_DATA_FIELDS[[#This Row],[RANGE_VALIDATION_FLAG]]="Text",LEN(DB_TBL_DATA_FIELDS[[#This Row],[FIELD_VALUE_RAW]]),IFERROR(VALUE(DB_TBL_DATA_FIELDS[[#This Row],[FIELD_VALUE_RAW]]),-1))</f>
        <v>-1</v>
      </c>
      <c r="U121" s="8">
        <v>0</v>
      </c>
      <c r="V121" s="34">
        <v>1</v>
      </c>
      <c r="W121" s="8" t="b">
        <f>IF(NOT(DB_TBL_DATA_FIELDS[[#This Row],[RANGE_VALIDATION_ON_FLAG]]),TRUE,
AND(DB_TBL_DATA_FIELDS[[#This Row],[RANGE_VALUE_LEN]]&gt;=DB_TBL_DATA_FIELDS[[#This Row],[RANGE_VALIDATION_MIN]],DB_TBL_DATA_FIELDS[[#This Row],[RANGE_VALUE_LEN]]&lt;=DB_TBL_DATA_FIELDS[[#This Row],[RANGE_VALIDATION_MAX]]))</f>
        <v>1</v>
      </c>
      <c r="X121" s="8">
        <v>1</v>
      </c>
      <c r="Y121" s="8">
        <f ca="1">IF(DB_TBL_DATA_FIELDS[[#This Row],[PCT_CALC_SHOW_STATUS_CODE]]=1,
DB_TBL_DATA_FIELDS[[#This Row],[FIELD_STATUS_CODE]],
IF(AND(DB_TBL_DATA_FIELDS[[#This Row],[PCT_CALC_SHOW_STATUS_CODE]]=2,DB_TBL_DATA_FIELDS[[#This Row],[FIELD_STATUS_CODE]]=0),
DB_TBL_DATA_FIELDS[[#This Row],[FIELD_STATUS_CODE]],
"")
)</f>
        <v>1</v>
      </c>
      <c r="Z121" s="8"/>
      <c r="AA121" s="11" t="s">
        <v>2676</v>
      </c>
      <c r="AB121" s="11" t="s">
        <v>2687</v>
      </c>
      <c r="AC121" s="8"/>
    </row>
    <row r="122" spans="1:29" x14ac:dyDescent="0.2">
      <c r="A122" s="4" t="s">
        <v>65</v>
      </c>
      <c r="B122" s="4" t="s">
        <v>64</v>
      </c>
      <c r="C122" s="16" t="str">
        <f ca="1">IF($H$10&lt;&gt;"R",IF(DB_TBL_DATA_FIELDS[[#This Row],[SHEET_REF_OWNER]]&lt;&gt;"",DB_TBL_DATA_FIELDS[[#This Row],[SHEET_REF_OWNER]],""),IF(DB_TBL_DATA_FIELDS[[#This Row],[SHEET_REF_RENTAL]]&lt;&gt;"",DB_TBL_DATA_FIELDS[[#This Row],[SHEET_REF_RENTAL]],""))</f>
        <v>RentalApp</v>
      </c>
      <c r="D122" s="4" t="s">
        <v>2691</v>
      </c>
      <c r="E122" s="4" t="b">
        <v>0</v>
      </c>
      <c r="F122" s="84" t="b">
        <f ca="1">OR(
AND($H$119&lt;&gt;"",$H$119=TRUE),
AND($H$120&lt;&gt;"",$H$120=TRUE),
AND($H$121&lt;&gt;"",$H$121=TRUE)
)</f>
        <v>0</v>
      </c>
      <c r="G122" s="6" t="s">
        <v>2664</v>
      </c>
      <c r="H122" s="11" t="str">
        <f ca="1">IFERROR(VLOOKUP(DB_TBL_DATA_FIELDS[[#This Row],[FIELD_ID]],INDIRECT(DB_TBL_DATA_FIELDS[[#This Row],[SHEET_REF_CALC]]&amp;"!A:B"),2,FALSE),"")</f>
        <v/>
      </c>
      <c r="I122" s="29" t="str">
        <f ca="1">IF(DB_TBL_DATA_FIELDS[[#This Row],[FIELD_VALUE_RAW]]="","",OR(H121=TRUE,H120=TRUE,H119=TRUE))</f>
        <v/>
      </c>
      <c r="J122" s="6" t="b">
        <f ca="1">(DB_TBL_DATA_FIELDS[[#This Row],[FIELD_VALUE_RAW]]="")</f>
        <v>1</v>
      </c>
      <c r="K122" s="6" t="s">
        <v>11</v>
      </c>
      <c r="L122" s="8" t="b">
        <f ca="1">AND(IF(DB_TBL_DATA_FIELDS[[#This Row],[FIELD_VALID_CUSTOM_LOGIC]]="",TRUE,DB_TBL_DATA_FIELDS[[#This Row],[FIELD_VALID_CUSTOM_LOGIC]]),DB_TBL_DATA_FIELDS[[#This Row],[RANGE_VALIDATION_PASSED_FLAG]])</f>
        <v>1</v>
      </c>
      <c r="M122"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22" s="8">
        <f ca="1">IF(DB_TBL_DATA_FIELDS[[#This Row],[SHEET_REF_CALC]]="","",IF(DB_TBL_DATA_FIELDS[[#This Row],[FIELD_EMPTY_FLAG]],IF(NOT(DB_TBL_DATA_FIELDS[[#This Row],[FIELD_REQ_FLAG]]),-1,1),IF(NOT(DB_TBL_DATA_FIELDS[[#This Row],[FIELD_VALID_FLAG]]),0,2)))</f>
        <v>-1</v>
      </c>
      <c r="O122" s="8" t="str">
        <f ca="1">IFERROR(VLOOKUP(DB_TBL_DATA_FIELDS[[#This Row],[FIELD_STATUS_CODE]],DB_TBL_CONFIG_FIELDSTATUSCODES[#All],3,FALSE),"")</f>
        <v>Optional</v>
      </c>
      <c r="P122" s="8" t="str">
        <f ca="1">IFERROR(VLOOKUP(DB_TBL_DATA_FIELDS[[#This Row],[FIELD_STATUS_CODE]],DB_TBL_CONFIG_FIELDSTATUSCODES[#All],4,FALSE),"")</f>
        <v xml:space="preserve"> </v>
      </c>
      <c r="Q122" s="8" t="b">
        <f>TRUE</f>
        <v>1</v>
      </c>
      <c r="R122" s="8" t="b">
        <f>TRUE</f>
        <v>1</v>
      </c>
      <c r="S122" s="4" t="s">
        <v>11</v>
      </c>
      <c r="T122" s="8">
        <f ca="1">IF(DB_TBL_DATA_FIELDS[[#This Row],[RANGE_VALIDATION_FLAG]]="Text",LEN(DB_TBL_DATA_FIELDS[[#This Row],[FIELD_VALUE_RAW]]),IFERROR(VALUE(DB_TBL_DATA_FIELDS[[#This Row],[FIELD_VALUE_RAW]]),-1))</f>
        <v>0</v>
      </c>
      <c r="U122" s="8">
        <v>0</v>
      </c>
      <c r="V122" s="101">
        <f>CONFIG_CHAR_LIMIT_SMALL</f>
        <v>1000</v>
      </c>
      <c r="W122" s="8" t="b">
        <f ca="1">IF(NOT(DB_TBL_DATA_FIELDS[[#This Row],[RANGE_VALIDATION_ON_FLAG]]),TRUE,
AND(DB_TBL_DATA_FIELDS[[#This Row],[RANGE_VALUE_LEN]]&gt;=DB_TBL_DATA_FIELDS[[#This Row],[RANGE_VALIDATION_MIN]],DB_TBL_DATA_FIELDS[[#This Row],[RANGE_VALUE_LEN]]&lt;=DB_TBL_DATA_FIELDS[[#This Row],[RANGE_VALIDATION_MAX]]))</f>
        <v>1</v>
      </c>
      <c r="X122" s="8">
        <v>1</v>
      </c>
      <c r="Y122" s="8">
        <f ca="1">IF(DB_TBL_DATA_FIELDS[[#This Row],[PCT_CALC_SHOW_STATUS_CODE]]=1,
DB_TBL_DATA_FIELDS[[#This Row],[FIELD_STATUS_CODE]],
IF(AND(DB_TBL_DATA_FIELDS[[#This Row],[PCT_CALC_SHOW_STATUS_CODE]]=2,DB_TBL_DATA_FIELDS[[#This Row],[FIELD_STATUS_CODE]]=0),
DB_TBL_DATA_FIELDS[[#This Row],[FIELD_STATUS_CODE]],
"")
)</f>
        <v>-1</v>
      </c>
      <c r="Z122" s="8"/>
      <c r="AA122" s="11" t="s">
        <v>2677</v>
      </c>
      <c r="AB122" s="11" t="s">
        <v>2687</v>
      </c>
      <c r="AC122" s="8"/>
    </row>
    <row r="123" spans="1:29" x14ac:dyDescent="0.2">
      <c r="A123" s="4" t="s">
        <v>65</v>
      </c>
      <c r="B123" s="4" t="s">
        <v>64</v>
      </c>
      <c r="C123" s="16" t="str">
        <f ca="1">IF($H$10&lt;&gt;"R",IF(DB_TBL_DATA_FIELDS[[#This Row],[SHEET_REF_OWNER]]&lt;&gt;"",DB_TBL_DATA_FIELDS[[#This Row],[SHEET_REF_OWNER]],""),IF(DB_TBL_DATA_FIELDS[[#This Row],[SHEET_REF_RENTAL]]&lt;&gt;"",DB_TBL_DATA_FIELDS[[#This Row],[SHEET_REF_RENTAL]],""))</f>
        <v>RentalApp</v>
      </c>
      <c r="D123" s="4" t="s">
        <v>2692</v>
      </c>
      <c r="E123" s="4" t="b">
        <v>1</v>
      </c>
      <c r="F123" s="25" t="b">
        <v>1</v>
      </c>
      <c r="G123" s="6" t="s">
        <v>2665</v>
      </c>
      <c r="H123" s="11" t="str">
        <f ca="1">IFERROR(VLOOKUP(DB_TBL_DATA_FIELDS[[#This Row],[FIELD_ID]],INDIRECT(DB_TBL_DATA_FIELDS[[#This Row],[SHEET_REF_CALC]]&amp;"!A:B"),2,FALSE),"")</f>
        <v/>
      </c>
      <c r="I123" s="11"/>
      <c r="J123" s="6" t="b">
        <f ca="1">(DB_TBL_DATA_FIELDS[[#This Row],[FIELD_VALUE_RAW]]="")</f>
        <v>1</v>
      </c>
      <c r="K123" s="6" t="s">
        <v>209</v>
      </c>
      <c r="L123" s="8" t="b">
        <f>AND(IF(DB_TBL_DATA_FIELDS[[#This Row],[FIELD_VALID_CUSTOM_LOGIC]]="",TRUE,DB_TBL_DATA_FIELDS[[#This Row],[FIELD_VALID_CUSTOM_LOGIC]]),DB_TBL_DATA_FIELDS[[#This Row],[RANGE_VALIDATION_PASSED_FLAG]])</f>
        <v>1</v>
      </c>
      <c r="M123"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23" s="8">
        <f ca="1">IF(DB_TBL_DATA_FIELDS[[#This Row],[SHEET_REF_CALC]]="","",IF(DB_TBL_DATA_FIELDS[[#This Row],[FIELD_EMPTY_FLAG]],IF(NOT(DB_TBL_DATA_FIELDS[[#This Row],[FIELD_REQ_FLAG]]),-1,1),IF(NOT(DB_TBL_DATA_FIELDS[[#This Row],[FIELD_VALID_FLAG]]),0,2)))</f>
        <v>1</v>
      </c>
      <c r="O123" s="8" t="str">
        <f ca="1">IFERROR(VLOOKUP(DB_TBL_DATA_FIELDS[[#This Row],[FIELD_STATUS_CODE]],DB_TBL_CONFIG_FIELDSTATUSCODES[#All],3,FALSE),"")</f>
        <v>Required</v>
      </c>
      <c r="P123" s="8" t="str">
        <f ca="1">IFERROR(VLOOKUP(DB_TBL_DATA_FIELDS[[#This Row],[FIELD_STATUS_CODE]],DB_TBL_CONFIG_FIELDSTATUSCODES[#All],4,FALSE),"")</f>
        <v>i</v>
      </c>
      <c r="Q123" s="8" t="b">
        <f>TRUE</f>
        <v>1</v>
      </c>
      <c r="R123" s="8" t="b">
        <v>0</v>
      </c>
      <c r="S123" s="4"/>
      <c r="T123" s="8">
        <f ca="1">IF(DB_TBL_DATA_FIELDS[[#This Row],[RANGE_VALIDATION_FLAG]]="Text",LEN(DB_TBL_DATA_FIELDS[[#This Row],[FIELD_VALUE_RAW]]),IFERROR(VALUE(DB_TBL_DATA_FIELDS[[#This Row],[FIELD_VALUE_RAW]]),-1))</f>
        <v>-1</v>
      </c>
      <c r="U123" s="8">
        <v>0</v>
      </c>
      <c r="V123" s="34">
        <v>1</v>
      </c>
      <c r="W123" s="8" t="b">
        <f>IF(NOT(DB_TBL_DATA_FIELDS[[#This Row],[RANGE_VALIDATION_ON_FLAG]]),TRUE,
AND(DB_TBL_DATA_FIELDS[[#This Row],[RANGE_VALUE_LEN]]&gt;=DB_TBL_DATA_FIELDS[[#This Row],[RANGE_VALIDATION_MIN]],DB_TBL_DATA_FIELDS[[#This Row],[RANGE_VALUE_LEN]]&lt;=DB_TBL_DATA_FIELDS[[#This Row],[RANGE_VALIDATION_MAX]]))</f>
        <v>1</v>
      </c>
      <c r="X123" s="8">
        <v>1</v>
      </c>
      <c r="Y123" s="8">
        <f ca="1">IF(DB_TBL_DATA_FIELDS[[#This Row],[PCT_CALC_SHOW_STATUS_CODE]]=1,
DB_TBL_DATA_FIELDS[[#This Row],[FIELD_STATUS_CODE]],
IF(AND(DB_TBL_DATA_FIELDS[[#This Row],[PCT_CALC_SHOW_STATUS_CODE]]=2,DB_TBL_DATA_FIELDS[[#This Row],[FIELD_STATUS_CODE]]=0),
DB_TBL_DATA_FIELDS[[#This Row],[FIELD_STATUS_CODE]],
"")
)</f>
        <v>1</v>
      </c>
      <c r="Z123" s="8"/>
      <c r="AA123" s="11" t="s">
        <v>2678</v>
      </c>
      <c r="AB123" s="11" t="s">
        <v>2687</v>
      </c>
      <c r="AC123" s="8"/>
    </row>
    <row r="124" spans="1:29" x14ac:dyDescent="0.2">
      <c r="A124" s="4" t="s">
        <v>65</v>
      </c>
      <c r="B124" s="4" t="s">
        <v>64</v>
      </c>
      <c r="C124" s="16" t="str">
        <f ca="1">IF($H$10&lt;&gt;"R",IF(DB_TBL_DATA_FIELDS[[#This Row],[SHEET_REF_OWNER]]&lt;&gt;"",DB_TBL_DATA_FIELDS[[#This Row],[SHEET_REF_OWNER]],""),IF(DB_TBL_DATA_FIELDS[[#This Row],[SHEET_REF_RENTAL]]&lt;&gt;"",DB_TBL_DATA_FIELDS[[#This Row],[SHEET_REF_RENTAL]],""))</f>
        <v>RentalApp</v>
      </c>
      <c r="D124" s="4" t="s">
        <v>2693</v>
      </c>
      <c r="E124" s="4" t="b">
        <v>1</v>
      </c>
      <c r="F124" s="84" t="b">
        <f ca="1">AND($H$123&lt;&gt;"",$H$123=TRUE)</f>
        <v>0</v>
      </c>
      <c r="G124" s="6" t="s">
        <v>2666</v>
      </c>
      <c r="H124" s="11" t="str">
        <f ca="1">IFERROR(VLOOKUP(DB_TBL_DATA_FIELDS[[#This Row],[FIELD_ID]],INDIRECT(DB_TBL_DATA_FIELDS[[#This Row],[SHEET_REF_CALC]]&amp;"!A:B"),2,FALSE),"")</f>
        <v/>
      </c>
      <c r="I124" s="29" t="str">
        <f ca="1">IF(DB_TBL_DATA_FIELDS[[#This Row],[FIELD_VALUE_RAW]]="","",$H$123=TRUE)</f>
        <v/>
      </c>
      <c r="J124" s="6" t="b">
        <f ca="1">(DB_TBL_DATA_FIELDS[[#This Row],[FIELD_VALUE_RAW]]="")</f>
        <v>1</v>
      </c>
      <c r="K124" s="6" t="s">
        <v>209</v>
      </c>
      <c r="L124" s="8" t="b">
        <f ca="1">AND(IF(DB_TBL_DATA_FIELDS[[#This Row],[FIELD_VALID_CUSTOM_LOGIC]]="",TRUE,DB_TBL_DATA_FIELDS[[#This Row],[FIELD_VALID_CUSTOM_LOGIC]]),DB_TBL_DATA_FIELDS[[#This Row],[RANGE_VALIDATION_PASSED_FLAG]])</f>
        <v>1</v>
      </c>
      <c r="M124"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24" s="8">
        <f ca="1">IF(DB_TBL_DATA_FIELDS[[#This Row],[SHEET_REF_CALC]]="","",IF(DB_TBL_DATA_FIELDS[[#This Row],[FIELD_EMPTY_FLAG]],IF(NOT(DB_TBL_DATA_FIELDS[[#This Row],[FIELD_REQ_FLAG]]),-1,1),IF(NOT(DB_TBL_DATA_FIELDS[[#This Row],[FIELD_VALID_FLAG]]),0,2)))</f>
        <v>-1</v>
      </c>
      <c r="O124" s="8" t="str">
        <f ca="1">IFERROR(VLOOKUP(DB_TBL_DATA_FIELDS[[#This Row],[FIELD_STATUS_CODE]],DB_TBL_CONFIG_FIELDSTATUSCODES[#All],3,FALSE),"")</f>
        <v>Optional</v>
      </c>
      <c r="P124" s="8" t="str">
        <f ca="1">IFERROR(VLOOKUP(DB_TBL_DATA_FIELDS[[#This Row],[FIELD_STATUS_CODE]],DB_TBL_CONFIG_FIELDSTATUSCODES[#All],4,FALSE),"")</f>
        <v xml:space="preserve"> </v>
      </c>
      <c r="Q124" s="8" t="b">
        <f>TRUE</f>
        <v>1</v>
      </c>
      <c r="R124" s="8" t="b">
        <v>0</v>
      </c>
      <c r="S124" s="4"/>
      <c r="T124" s="8">
        <f ca="1">IF(DB_TBL_DATA_FIELDS[[#This Row],[RANGE_VALIDATION_FLAG]]="Text",LEN(DB_TBL_DATA_FIELDS[[#This Row],[FIELD_VALUE_RAW]]),IFERROR(VALUE(DB_TBL_DATA_FIELDS[[#This Row],[FIELD_VALUE_RAW]]),-1))</f>
        <v>-1</v>
      </c>
      <c r="U124" s="8">
        <v>0</v>
      </c>
      <c r="V124" s="34">
        <v>1</v>
      </c>
      <c r="W124" s="8" t="b">
        <f>IF(NOT(DB_TBL_DATA_FIELDS[[#This Row],[RANGE_VALIDATION_ON_FLAG]]),TRUE,
AND(DB_TBL_DATA_FIELDS[[#This Row],[RANGE_VALUE_LEN]]&gt;=DB_TBL_DATA_FIELDS[[#This Row],[RANGE_VALIDATION_MIN]],DB_TBL_DATA_FIELDS[[#This Row],[RANGE_VALUE_LEN]]&lt;=DB_TBL_DATA_FIELDS[[#This Row],[RANGE_VALIDATION_MAX]]))</f>
        <v>1</v>
      </c>
      <c r="X124" s="8">
        <v>1</v>
      </c>
      <c r="Y124" s="8">
        <f ca="1">IF(DB_TBL_DATA_FIELDS[[#This Row],[PCT_CALC_SHOW_STATUS_CODE]]=1,
DB_TBL_DATA_FIELDS[[#This Row],[FIELD_STATUS_CODE]],
IF(AND(DB_TBL_DATA_FIELDS[[#This Row],[PCT_CALC_SHOW_STATUS_CODE]]=2,DB_TBL_DATA_FIELDS[[#This Row],[FIELD_STATUS_CODE]]=0),
DB_TBL_DATA_FIELDS[[#This Row],[FIELD_STATUS_CODE]],
"")
)</f>
        <v>-1</v>
      </c>
      <c r="Z124" s="8"/>
      <c r="AA124" s="11" t="s">
        <v>2679</v>
      </c>
      <c r="AB124" s="11" t="s">
        <v>2687</v>
      </c>
      <c r="AC124" s="8"/>
    </row>
    <row r="125" spans="1:29" x14ac:dyDescent="0.2">
      <c r="A125" s="4" t="s">
        <v>65</v>
      </c>
      <c r="B125" s="4" t="s">
        <v>64</v>
      </c>
      <c r="C125" s="16" t="str">
        <f ca="1">IF($H$10&lt;&gt;"R",IF(DB_TBL_DATA_FIELDS[[#This Row],[SHEET_REF_OWNER]]&lt;&gt;"",DB_TBL_DATA_FIELDS[[#This Row],[SHEET_REF_OWNER]],""),IF(DB_TBL_DATA_FIELDS[[#This Row],[SHEET_REF_RENTAL]]&lt;&gt;"",DB_TBL_DATA_FIELDS[[#This Row],[SHEET_REF_RENTAL]],""))</f>
        <v>RentalApp</v>
      </c>
      <c r="D125" s="4" t="s">
        <v>2694</v>
      </c>
      <c r="E125" s="4" t="b">
        <v>1</v>
      </c>
      <c r="F125" s="84" t="b">
        <f ca="1">AND($H$123&lt;&gt;"",$H$123=TRUE)</f>
        <v>0</v>
      </c>
      <c r="G125" s="6" t="s">
        <v>2667</v>
      </c>
      <c r="H125" s="11" t="str">
        <f ca="1">IFERROR(VLOOKUP(DB_TBL_DATA_FIELDS[[#This Row],[FIELD_ID]],INDIRECT(DB_TBL_DATA_FIELDS[[#This Row],[SHEET_REF_CALC]]&amp;"!A:B"),2,FALSE),"")</f>
        <v/>
      </c>
      <c r="I125" s="29" t="str">
        <f ca="1">IF(DB_TBL_DATA_FIELDS[[#This Row],[FIELD_VALUE_RAW]]="","",$H$123=TRUE)</f>
        <v/>
      </c>
      <c r="J125" s="6" t="b">
        <f ca="1">(DB_TBL_DATA_FIELDS[[#This Row],[FIELD_VALUE_RAW]]="")</f>
        <v>1</v>
      </c>
      <c r="K125" s="6" t="s">
        <v>209</v>
      </c>
      <c r="L125" s="8" t="b">
        <f ca="1">AND(IF(DB_TBL_DATA_FIELDS[[#This Row],[FIELD_VALID_CUSTOM_LOGIC]]="",TRUE,DB_TBL_DATA_FIELDS[[#This Row],[FIELD_VALID_CUSTOM_LOGIC]]),DB_TBL_DATA_FIELDS[[#This Row],[RANGE_VALIDATION_PASSED_FLAG]])</f>
        <v>1</v>
      </c>
      <c r="M125"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25" s="8">
        <f ca="1">IF(DB_TBL_DATA_FIELDS[[#This Row],[SHEET_REF_CALC]]="","",IF(DB_TBL_DATA_FIELDS[[#This Row],[FIELD_EMPTY_FLAG]],IF(NOT(DB_TBL_DATA_FIELDS[[#This Row],[FIELD_REQ_FLAG]]),-1,1),IF(NOT(DB_TBL_DATA_FIELDS[[#This Row],[FIELD_VALID_FLAG]]),0,2)))</f>
        <v>-1</v>
      </c>
      <c r="O125" s="8" t="str">
        <f ca="1">IFERROR(VLOOKUP(DB_TBL_DATA_FIELDS[[#This Row],[FIELD_STATUS_CODE]],DB_TBL_CONFIG_FIELDSTATUSCODES[#All],3,FALSE),"")</f>
        <v>Optional</v>
      </c>
      <c r="P125" s="8" t="str">
        <f ca="1">IFERROR(VLOOKUP(DB_TBL_DATA_FIELDS[[#This Row],[FIELD_STATUS_CODE]],DB_TBL_CONFIG_FIELDSTATUSCODES[#All],4,FALSE),"")</f>
        <v xml:space="preserve"> </v>
      </c>
      <c r="Q125" s="8" t="b">
        <f>TRUE</f>
        <v>1</v>
      </c>
      <c r="R125" s="8" t="b">
        <v>0</v>
      </c>
      <c r="S125" s="4"/>
      <c r="T125" s="8">
        <f ca="1">IF(DB_TBL_DATA_FIELDS[[#This Row],[RANGE_VALIDATION_FLAG]]="Text",LEN(DB_TBL_DATA_FIELDS[[#This Row],[FIELD_VALUE_RAW]]),IFERROR(VALUE(DB_TBL_DATA_FIELDS[[#This Row],[FIELD_VALUE_RAW]]),-1))</f>
        <v>-1</v>
      </c>
      <c r="U125" s="8">
        <v>0</v>
      </c>
      <c r="V125" s="34">
        <v>1</v>
      </c>
      <c r="W125" s="8" t="b">
        <f>IF(NOT(DB_TBL_DATA_FIELDS[[#This Row],[RANGE_VALIDATION_ON_FLAG]]),TRUE,
AND(DB_TBL_DATA_FIELDS[[#This Row],[RANGE_VALUE_LEN]]&gt;=DB_TBL_DATA_FIELDS[[#This Row],[RANGE_VALIDATION_MIN]],DB_TBL_DATA_FIELDS[[#This Row],[RANGE_VALUE_LEN]]&lt;=DB_TBL_DATA_FIELDS[[#This Row],[RANGE_VALIDATION_MAX]]))</f>
        <v>1</v>
      </c>
      <c r="X125" s="8">
        <v>1</v>
      </c>
      <c r="Y125" s="8">
        <f ca="1">IF(DB_TBL_DATA_FIELDS[[#This Row],[PCT_CALC_SHOW_STATUS_CODE]]=1,
DB_TBL_DATA_FIELDS[[#This Row],[FIELD_STATUS_CODE]],
IF(AND(DB_TBL_DATA_FIELDS[[#This Row],[PCT_CALC_SHOW_STATUS_CODE]]=2,DB_TBL_DATA_FIELDS[[#This Row],[FIELD_STATUS_CODE]]=0),
DB_TBL_DATA_FIELDS[[#This Row],[FIELD_STATUS_CODE]],
"")
)</f>
        <v>-1</v>
      </c>
      <c r="Z125" s="8"/>
      <c r="AA125" s="11" t="s">
        <v>2680</v>
      </c>
      <c r="AB125" s="11" t="s">
        <v>2687</v>
      </c>
      <c r="AC125" s="8"/>
    </row>
    <row r="126" spans="1:29" x14ac:dyDescent="0.2">
      <c r="A126" s="4" t="s">
        <v>65</v>
      </c>
      <c r="B126" s="4" t="s">
        <v>64</v>
      </c>
      <c r="C126" s="16" t="str">
        <f ca="1">IF($H$10&lt;&gt;"R",IF(DB_TBL_DATA_FIELDS[[#This Row],[SHEET_REF_OWNER]]&lt;&gt;"",DB_TBL_DATA_FIELDS[[#This Row],[SHEET_REF_OWNER]],""),IF(DB_TBL_DATA_FIELDS[[#This Row],[SHEET_REF_RENTAL]]&lt;&gt;"",DB_TBL_DATA_FIELDS[[#This Row],[SHEET_REF_RENTAL]],""))</f>
        <v>RentalApp</v>
      </c>
      <c r="D126" s="4" t="s">
        <v>2695</v>
      </c>
      <c r="E126" s="4" t="b">
        <v>1</v>
      </c>
      <c r="F126" s="84" t="b">
        <f ca="1">AND($H$123&lt;&gt;"",$H$123=TRUE)</f>
        <v>0</v>
      </c>
      <c r="G126" s="6" t="s">
        <v>2668</v>
      </c>
      <c r="H126" s="11" t="str">
        <f ca="1">IFERROR(VLOOKUP(DB_TBL_DATA_FIELDS[[#This Row],[FIELD_ID]],INDIRECT(DB_TBL_DATA_FIELDS[[#This Row],[SHEET_REF_CALC]]&amp;"!A:B"),2,FALSE),"")</f>
        <v/>
      </c>
      <c r="I126" s="29" t="str">
        <f ca="1">IF(DB_TBL_DATA_FIELDS[[#This Row],[FIELD_VALUE_RAW]]="","",$H$123=TRUE)</f>
        <v/>
      </c>
      <c r="J126" s="6" t="b">
        <f ca="1">(DB_TBL_DATA_FIELDS[[#This Row],[FIELD_VALUE_RAW]]="")</f>
        <v>1</v>
      </c>
      <c r="K126" s="6" t="s">
        <v>209</v>
      </c>
      <c r="L126" s="8" t="b">
        <f ca="1">AND(IF(DB_TBL_DATA_FIELDS[[#This Row],[FIELD_VALID_CUSTOM_LOGIC]]="",TRUE,DB_TBL_DATA_FIELDS[[#This Row],[FIELD_VALID_CUSTOM_LOGIC]]),DB_TBL_DATA_FIELDS[[#This Row],[RANGE_VALIDATION_PASSED_FLAG]])</f>
        <v>1</v>
      </c>
      <c r="M126"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26" s="8">
        <f ca="1">IF(DB_TBL_DATA_FIELDS[[#This Row],[SHEET_REF_CALC]]="","",IF(DB_TBL_DATA_FIELDS[[#This Row],[FIELD_EMPTY_FLAG]],IF(NOT(DB_TBL_DATA_FIELDS[[#This Row],[FIELD_REQ_FLAG]]),-1,1),IF(NOT(DB_TBL_DATA_FIELDS[[#This Row],[FIELD_VALID_FLAG]]),0,2)))</f>
        <v>-1</v>
      </c>
      <c r="O126" s="8" t="str">
        <f ca="1">IFERROR(VLOOKUP(DB_TBL_DATA_FIELDS[[#This Row],[FIELD_STATUS_CODE]],DB_TBL_CONFIG_FIELDSTATUSCODES[#All],3,FALSE),"")</f>
        <v>Optional</v>
      </c>
      <c r="P126" s="8" t="str">
        <f ca="1">IFERROR(VLOOKUP(DB_TBL_DATA_FIELDS[[#This Row],[FIELD_STATUS_CODE]],DB_TBL_CONFIG_FIELDSTATUSCODES[#All],4,FALSE),"")</f>
        <v xml:space="preserve"> </v>
      </c>
      <c r="Q126" s="8" t="b">
        <f>TRUE</f>
        <v>1</v>
      </c>
      <c r="R126" s="8" t="b">
        <v>0</v>
      </c>
      <c r="S126" s="4"/>
      <c r="T126" s="8">
        <f ca="1">IF(DB_TBL_DATA_FIELDS[[#This Row],[RANGE_VALIDATION_FLAG]]="Text",LEN(DB_TBL_DATA_FIELDS[[#This Row],[FIELD_VALUE_RAW]]),IFERROR(VALUE(DB_TBL_DATA_FIELDS[[#This Row],[FIELD_VALUE_RAW]]),-1))</f>
        <v>-1</v>
      </c>
      <c r="U126" s="8">
        <v>0</v>
      </c>
      <c r="V126" s="34">
        <v>1</v>
      </c>
      <c r="W126" s="8" t="b">
        <f>IF(NOT(DB_TBL_DATA_FIELDS[[#This Row],[RANGE_VALIDATION_ON_FLAG]]),TRUE,
AND(DB_TBL_DATA_FIELDS[[#This Row],[RANGE_VALUE_LEN]]&gt;=DB_TBL_DATA_FIELDS[[#This Row],[RANGE_VALIDATION_MIN]],DB_TBL_DATA_FIELDS[[#This Row],[RANGE_VALUE_LEN]]&lt;=DB_TBL_DATA_FIELDS[[#This Row],[RANGE_VALIDATION_MAX]]))</f>
        <v>1</v>
      </c>
      <c r="X126" s="8">
        <v>1</v>
      </c>
      <c r="Y126" s="8">
        <f ca="1">IF(DB_TBL_DATA_FIELDS[[#This Row],[PCT_CALC_SHOW_STATUS_CODE]]=1,
DB_TBL_DATA_FIELDS[[#This Row],[FIELD_STATUS_CODE]],
IF(AND(DB_TBL_DATA_FIELDS[[#This Row],[PCT_CALC_SHOW_STATUS_CODE]]=2,DB_TBL_DATA_FIELDS[[#This Row],[FIELD_STATUS_CODE]]=0),
DB_TBL_DATA_FIELDS[[#This Row],[FIELD_STATUS_CODE]],
"")
)</f>
        <v>-1</v>
      </c>
      <c r="Z126" s="8"/>
      <c r="AA126" s="11" t="s">
        <v>2681</v>
      </c>
      <c r="AB126" s="11" t="s">
        <v>2687</v>
      </c>
      <c r="AC126" s="8"/>
    </row>
    <row r="127" spans="1:29" x14ac:dyDescent="0.2">
      <c r="A127" s="4" t="s">
        <v>65</v>
      </c>
      <c r="B127" s="4" t="s">
        <v>64</v>
      </c>
      <c r="C127" s="16" t="str">
        <f ca="1">IF($H$10&lt;&gt;"R",IF(DB_TBL_DATA_FIELDS[[#This Row],[SHEET_REF_OWNER]]&lt;&gt;"",DB_TBL_DATA_FIELDS[[#This Row],[SHEET_REF_OWNER]],""),IF(DB_TBL_DATA_FIELDS[[#This Row],[SHEET_REF_RENTAL]]&lt;&gt;"",DB_TBL_DATA_FIELDS[[#This Row],[SHEET_REF_RENTAL]],""))</f>
        <v>RentalApp</v>
      </c>
      <c r="D127" s="4" t="s">
        <v>2696</v>
      </c>
      <c r="E127" s="4" t="b">
        <v>1</v>
      </c>
      <c r="F127" s="25" t="b">
        <v>1</v>
      </c>
      <c r="G127" s="6" t="s">
        <v>2669</v>
      </c>
      <c r="H127" s="11" t="str">
        <f ca="1">IFERROR(VLOOKUP(DB_TBL_DATA_FIELDS[[#This Row],[FIELD_ID]],INDIRECT(DB_TBL_DATA_FIELDS[[#This Row],[SHEET_REF_CALC]]&amp;"!A:B"),2,FALSE),"")</f>
        <v/>
      </c>
      <c r="I127" s="11"/>
      <c r="J127" s="6" t="b">
        <f ca="1">(DB_TBL_DATA_FIELDS[[#This Row],[FIELD_VALUE_RAW]]="")</f>
        <v>1</v>
      </c>
      <c r="K127" s="6" t="s">
        <v>209</v>
      </c>
      <c r="L127" s="8" t="b">
        <f>AND(IF(DB_TBL_DATA_FIELDS[[#This Row],[FIELD_VALID_CUSTOM_LOGIC]]="",TRUE,DB_TBL_DATA_FIELDS[[#This Row],[FIELD_VALID_CUSTOM_LOGIC]]),DB_TBL_DATA_FIELDS[[#This Row],[RANGE_VALIDATION_PASSED_FLAG]])</f>
        <v>1</v>
      </c>
      <c r="M127"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27" s="8">
        <f ca="1">IF(DB_TBL_DATA_FIELDS[[#This Row],[SHEET_REF_CALC]]="","",IF(DB_TBL_DATA_FIELDS[[#This Row],[FIELD_EMPTY_FLAG]],IF(NOT(DB_TBL_DATA_FIELDS[[#This Row],[FIELD_REQ_FLAG]]),-1,1),IF(NOT(DB_TBL_DATA_FIELDS[[#This Row],[FIELD_VALID_FLAG]]),0,2)))</f>
        <v>1</v>
      </c>
      <c r="O127" s="8" t="str">
        <f ca="1">IFERROR(VLOOKUP(DB_TBL_DATA_FIELDS[[#This Row],[FIELD_STATUS_CODE]],DB_TBL_CONFIG_FIELDSTATUSCODES[#All],3,FALSE),"")</f>
        <v>Required</v>
      </c>
      <c r="P127" s="8" t="str">
        <f ca="1">IFERROR(VLOOKUP(DB_TBL_DATA_FIELDS[[#This Row],[FIELD_STATUS_CODE]],DB_TBL_CONFIG_FIELDSTATUSCODES[#All],4,FALSE),"")</f>
        <v>i</v>
      </c>
      <c r="Q127" s="8" t="b">
        <f>TRUE</f>
        <v>1</v>
      </c>
      <c r="R127" s="8" t="b">
        <v>0</v>
      </c>
      <c r="S127" s="4"/>
      <c r="T127" s="8">
        <f ca="1">IF(DB_TBL_DATA_FIELDS[[#This Row],[RANGE_VALIDATION_FLAG]]="Text",LEN(DB_TBL_DATA_FIELDS[[#This Row],[FIELD_VALUE_RAW]]),IFERROR(VALUE(DB_TBL_DATA_FIELDS[[#This Row],[FIELD_VALUE_RAW]]),-1))</f>
        <v>-1</v>
      </c>
      <c r="U127" s="8">
        <v>0</v>
      </c>
      <c r="V127" s="34">
        <v>1</v>
      </c>
      <c r="W127" s="8" t="b">
        <f>IF(NOT(DB_TBL_DATA_FIELDS[[#This Row],[RANGE_VALIDATION_ON_FLAG]]),TRUE,
AND(DB_TBL_DATA_FIELDS[[#This Row],[RANGE_VALUE_LEN]]&gt;=DB_TBL_DATA_FIELDS[[#This Row],[RANGE_VALIDATION_MIN]],DB_TBL_DATA_FIELDS[[#This Row],[RANGE_VALUE_LEN]]&lt;=DB_TBL_DATA_FIELDS[[#This Row],[RANGE_VALIDATION_MAX]]))</f>
        <v>1</v>
      </c>
      <c r="X127" s="8">
        <v>1</v>
      </c>
      <c r="Y127" s="8">
        <f ca="1">IF(DB_TBL_DATA_FIELDS[[#This Row],[PCT_CALC_SHOW_STATUS_CODE]]=1,
DB_TBL_DATA_FIELDS[[#This Row],[FIELD_STATUS_CODE]],
IF(AND(DB_TBL_DATA_FIELDS[[#This Row],[PCT_CALC_SHOW_STATUS_CODE]]=2,DB_TBL_DATA_FIELDS[[#This Row],[FIELD_STATUS_CODE]]=0),
DB_TBL_DATA_FIELDS[[#This Row],[FIELD_STATUS_CODE]],
"")
)</f>
        <v>1</v>
      </c>
      <c r="Z127" s="8"/>
      <c r="AA127" s="11" t="s">
        <v>2682</v>
      </c>
      <c r="AB127" s="11" t="s">
        <v>2687</v>
      </c>
      <c r="AC127" s="8"/>
    </row>
    <row r="128" spans="1:29" x14ac:dyDescent="0.2">
      <c r="A128" s="4" t="s">
        <v>65</v>
      </c>
      <c r="B128" s="4" t="s">
        <v>64</v>
      </c>
      <c r="C128" s="16" t="str">
        <f ca="1">IF($H$10&lt;&gt;"R",IF(DB_TBL_DATA_FIELDS[[#This Row],[SHEET_REF_OWNER]]&lt;&gt;"",DB_TBL_DATA_FIELDS[[#This Row],[SHEET_REF_OWNER]],""),IF(DB_TBL_DATA_FIELDS[[#This Row],[SHEET_REF_RENTAL]]&lt;&gt;"",DB_TBL_DATA_FIELDS[[#This Row],[SHEET_REF_RENTAL]],""))</f>
        <v>RentalApp</v>
      </c>
      <c r="D128" s="4" t="s">
        <v>2697</v>
      </c>
      <c r="E128" s="4" t="b">
        <v>1</v>
      </c>
      <c r="F128" s="25" t="b">
        <v>1</v>
      </c>
      <c r="G128" s="6" t="s">
        <v>2670</v>
      </c>
      <c r="H128" s="11" t="str">
        <f ca="1">IFERROR(VLOOKUP(DB_TBL_DATA_FIELDS[[#This Row],[FIELD_ID]],INDIRECT(DB_TBL_DATA_FIELDS[[#This Row],[SHEET_REF_CALC]]&amp;"!A:B"),2,FALSE),"")</f>
        <v/>
      </c>
      <c r="I128" s="11"/>
      <c r="J128" s="6" t="b">
        <f ca="1">(DB_TBL_DATA_FIELDS[[#This Row],[FIELD_VALUE_RAW]]="")</f>
        <v>1</v>
      </c>
      <c r="K128" s="6" t="s">
        <v>209</v>
      </c>
      <c r="L128" s="8" t="b">
        <f>AND(IF(DB_TBL_DATA_FIELDS[[#This Row],[FIELD_VALID_CUSTOM_LOGIC]]="",TRUE,DB_TBL_DATA_FIELDS[[#This Row],[FIELD_VALID_CUSTOM_LOGIC]]),DB_TBL_DATA_FIELDS[[#This Row],[RANGE_VALIDATION_PASSED_FLAG]])</f>
        <v>1</v>
      </c>
      <c r="M128"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28" s="8">
        <f ca="1">IF(DB_TBL_DATA_FIELDS[[#This Row],[SHEET_REF_CALC]]="","",IF(DB_TBL_DATA_FIELDS[[#This Row],[FIELD_EMPTY_FLAG]],IF(NOT(DB_TBL_DATA_FIELDS[[#This Row],[FIELD_REQ_FLAG]]),-1,1),IF(NOT(DB_TBL_DATA_FIELDS[[#This Row],[FIELD_VALID_FLAG]]),0,2)))</f>
        <v>1</v>
      </c>
      <c r="O128" s="8" t="str">
        <f ca="1">IFERROR(VLOOKUP(DB_TBL_DATA_FIELDS[[#This Row],[FIELD_STATUS_CODE]],DB_TBL_CONFIG_FIELDSTATUSCODES[#All],3,FALSE),"")</f>
        <v>Required</v>
      </c>
      <c r="P128" s="8" t="str">
        <f ca="1">IFERROR(VLOOKUP(DB_TBL_DATA_FIELDS[[#This Row],[FIELD_STATUS_CODE]],DB_TBL_CONFIG_FIELDSTATUSCODES[#All],4,FALSE),"")</f>
        <v>i</v>
      </c>
      <c r="Q128" s="8" t="b">
        <f>TRUE</f>
        <v>1</v>
      </c>
      <c r="R128" s="8" t="b">
        <v>0</v>
      </c>
      <c r="S128" s="4"/>
      <c r="T128" s="8">
        <f ca="1">IF(DB_TBL_DATA_FIELDS[[#This Row],[RANGE_VALIDATION_FLAG]]="Text",LEN(DB_TBL_DATA_FIELDS[[#This Row],[FIELD_VALUE_RAW]]),IFERROR(VALUE(DB_TBL_DATA_FIELDS[[#This Row],[FIELD_VALUE_RAW]]),-1))</f>
        <v>-1</v>
      </c>
      <c r="U128" s="8">
        <v>0</v>
      </c>
      <c r="V128" s="34">
        <v>1</v>
      </c>
      <c r="W128" s="8" t="b">
        <f>IF(NOT(DB_TBL_DATA_FIELDS[[#This Row],[RANGE_VALIDATION_ON_FLAG]]),TRUE,
AND(DB_TBL_DATA_FIELDS[[#This Row],[RANGE_VALUE_LEN]]&gt;=DB_TBL_DATA_FIELDS[[#This Row],[RANGE_VALIDATION_MIN]],DB_TBL_DATA_FIELDS[[#This Row],[RANGE_VALUE_LEN]]&lt;=DB_TBL_DATA_FIELDS[[#This Row],[RANGE_VALIDATION_MAX]]))</f>
        <v>1</v>
      </c>
      <c r="X128" s="8">
        <v>1</v>
      </c>
      <c r="Y128" s="8">
        <f ca="1">IF(DB_TBL_DATA_FIELDS[[#This Row],[PCT_CALC_SHOW_STATUS_CODE]]=1,
DB_TBL_DATA_FIELDS[[#This Row],[FIELD_STATUS_CODE]],
IF(AND(DB_TBL_DATA_FIELDS[[#This Row],[PCT_CALC_SHOW_STATUS_CODE]]=2,DB_TBL_DATA_FIELDS[[#This Row],[FIELD_STATUS_CODE]]=0),
DB_TBL_DATA_FIELDS[[#This Row],[FIELD_STATUS_CODE]],
"")
)</f>
        <v>1</v>
      </c>
      <c r="Z128" s="8"/>
      <c r="AA128" s="11" t="s">
        <v>2683</v>
      </c>
      <c r="AB128" s="11" t="s">
        <v>2687</v>
      </c>
      <c r="AC128" s="8"/>
    </row>
    <row r="129" spans="1:29" x14ac:dyDescent="0.2">
      <c r="A129" s="4" t="s">
        <v>65</v>
      </c>
      <c r="B129" s="4" t="s">
        <v>64</v>
      </c>
      <c r="C129" s="16" t="str">
        <f ca="1">IF($H$10&lt;&gt;"R",IF(DB_TBL_DATA_FIELDS[[#This Row],[SHEET_REF_OWNER]]&lt;&gt;"",DB_TBL_DATA_FIELDS[[#This Row],[SHEET_REF_OWNER]],""),IF(DB_TBL_DATA_FIELDS[[#This Row],[SHEET_REF_RENTAL]]&lt;&gt;"",DB_TBL_DATA_FIELDS[[#This Row],[SHEET_REF_RENTAL]],""))</f>
        <v>RentalApp</v>
      </c>
      <c r="D129" s="4" t="s">
        <v>2699</v>
      </c>
      <c r="E129" s="4" t="b">
        <v>1</v>
      </c>
      <c r="F129" s="25" t="b">
        <v>1</v>
      </c>
      <c r="G129" s="6" t="s">
        <v>2672</v>
      </c>
      <c r="H129" s="11" t="str">
        <f ca="1">IFERROR(VLOOKUP(DB_TBL_DATA_FIELDS[[#This Row],[FIELD_ID]],INDIRECT(DB_TBL_DATA_FIELDS[[#This Row],[SHEET_REF_CALC]]&amp;"!A:B"),2,FALSE),"")</f>
        <v/>
      </c>
      <c r="I129" s="11"/>
      <c r="J129" s="6" t="b">
        <f ca="1">(DB_TBL_DATA_FIELDS[[#This Row],[FIELD_VALUE_RAW]]="")</f>
        <v>1</v>
      </c>
      <c r="K129" s="6" t="s">
        <v>209</v>
      </c>
      <c r="L129" s="8" t="b">
        <f>AND(IF(DB_TBL_DATA_FIELDS[[#This Row],[FIELD_VALID_CUSTOM_LOGIC]]="",TRUE,DB_TBL_DATA_FIELDS[[#This Row],[FIELD_VALID_CUSTOM_LOGIC]]),DB_TBL_DATA_FIELDS[[#This Row],[RANGE_VALIDATION_PASSED_FLAG]])</f>
        <v>1</v>
      </c>
      <c r="M129"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29" s="8">
        <f ca="1">IF(DB_TBL_DATA_FIELDS[[#This Row],[SHEET_REF_CALC]]="","",IF(DB_TBL_DATA_FIELDS[[#This Row],[FIELD_EMPTY_FLAG]],IF(NOT(DB_TBL_DATA_FIELDS[[#This Row],[FIELD_REQ_FLAG]]),-1,1),IF(NOT(DB_TBL_DATA_FIELDS[[#This Row],[FIELD_VALID_FLAG]]),0,2)))</f>
        <v>1</v>
      </c>
      <c r="O129" s="8" t="str">
        <f ca="1">IFERROR(VLOOKUP(DB_TBL_DATA_FIELDS[[#This Row],[FIELD_STATUS_CODE]],DB_TBL_CONFIG_FIELDSTATUSCODES[#All],3,FALSE),"")</f>
        <v>Required</v>
      </c>
      <c r="P129" s="8" t="str">
        <f ca="1">IFERROR(VLOOKUP(DB_TBL_DATA_FIELDS[[#This Row],[FIELD_STATUS_CODE]],DB_TBL_CONFIG_FIELDSTATUSCODES[#All],4,FALSE),"")</f>
        <v>i</v>
      </c>
      <c r="Q129" s="8" t="b">
        <f>TRUE</f>
        <v>1</v>
      </c>
      <c r="R129" s="8" t="b">
        <v>0</v>
      </c>
      <c r="S129" s="4"/>
      <c r="T129" s="8">
        <f ca="1">IF(DB_TBL_DATA_FIELDS[[#This Row],[RANGE_VALIDATION_FLAG]]="Text",LEN(DB_TBL_DATA_FIELDS[[#This Row],[FIELD_VALUE_RAW]]),IFERROR(VALUE(DB_TBL_DATA_FIELDS[[#This Row],[FIELD_VALUE_RAW]]),-1))</f>
        <v>-1</v>
      </c>
      <c r="U129" s="8">
        <v>0</v>
      </c>
      <c r="V129" s="34">
        <v>1</v>
      </c>
      <c r="W129" s="8" t="b">
        <f>IF(NOT(DB_TBL_DATA_FIELDS[[#This Row],[RANGE_VALIDATION_ON_FLAG]]),TRUE,
AND(DB_TBL_DATA_FIELDS[[#This Row],[RANGE_VALUE_LEN]]&gt;=DB_TBL_DATA_FIELDS[[#This Row],[RANGE_VALIDATION_MIN]],DB_TBL_DATA_FIELDS[[#This Row],[RANGE_VALUE_LEN]]&lt;=DB_TBL_DATA_FIELDS[[#This Row],[RANGE_VALIDATION_MAX]]))</f>
        <v>1</v>
      </c>
      <c r="X129" s="8">
        <v>1</v>
      </c>
      <c r="Y129" s="8">
        <f ca="1">IF(DB_TBL_DATA_FIELDS[[#This Row],[PCT_CALC_SHOW_STATUS_CODE]]=1,
DB_TBL_DATA_FIELDS[[#This Row],[FIELD_STATUS_CODE]],
IF(AND(DB_TBL_DATA_FIELDS[[#This Row],[PCT_CALC_SHOW_STATUS_CODE]]=2,DB_TBL_DATA_FIELDS[[#This Row],[FIELD_STATUS_CODE]]=0),
DB_TBL_DATA_FIELDS[[#This Row],[FIELD_STATUS_CODE]],
"")
)</f>
        <v>1</v>
      </c>
      <c r="Z129" s="8"/>
      <c r="AA129" s="11" t="s">
        <v>2684</v>
      </c>
      <c r="AB129" s="11" t="s">
        <v>2687</v>
      </c>
      <c r="AC129" s="8"/>
    </row>
    <row r="130" spans="1:29" x14ac:dyDescent="0.2">
      <c r="A130" s="4"/>
      <c r="B130" s="4" t="s">
        <v>64</v>
      </c>
      <c r="C130" s="16" t="str">
        <f ca="1">IF($H$10&lt;&gt;"R",IF(DB_TBL_DATA_FIELDS[[#This Row],[SHEET_REF_OWNER]]&lt;&gt;"",DB_TBL_DATA_FIELDS[[#This Row],[SHEET_REF_OWNER]],""),IF(DB_TBL_DATA_FIELDS[[#This Row],[SHEET_REF_RENTAL]]&lt;&gt;"",DB_TBL_DATA_FIELDS[[#This Row],[SHEET_REF_RENTAL]],""))</f>
        <v>RentalApp</v>
      </c>
      <c r="D130" s="89" t="s">
        <v>2698</v>
      </c>
      <c r="E130" s="4" t="b">
        <v>1</v>
      </c>
      <c r="F130" s="25" t="b">
        <v>1</v>
      </c>
      <c r="G130" s="6" t="s">
        <v>2671</v>
      </c>
      <c r="H130" s="11" t="str">
        <f ca="1">IFERROR(VLOOKUP(DB_TBL_DATA_FIELDS[[#This Row],[FIELD_ID]],INDIRECT(DB_TBL_DATA_FIELDS[[#This Row],[SHEET_REF_CALC]]&amp;"!A:B"),2,FALSE),"")</f>
        <v/>
      </c>
      <c r="I130" s="11"/>
      <c r="J130" s="6" t="b">
        <f ca="1">(DB_TBL_DATA_FIELDS[[#This Row],[FIELD_VALUE_RAW]]="")</f>
        <v>1</v>
      </c>
      <c r="K130" s="6" t="s">
        <v>209</v>
      </c>
      <c r="L130" s="8" t="b">
        <f>AND(IF(DB_TBL_DATA_FIELDS[[#This Row],[FIELD_VALID_CUSTOM_LOGIC]]="",TRUE,DB_TBL_DATA_FIELDS[[#This Row],[FIELD_VALID_CUSTOM_LOGIC]]),DB_TBL_DATA_FIELDS[[#This Row],[RANGE_VALIDATION_PASSED_FLAG]])</f>
        <v>1</v>
      </c>
      <c r="M130"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30" s="8">
        <f ca="1">IF(DB_TBL_DATA_FIELDS[[#This Row],[SHEET_REF_CALC]]="","",IF(DB_TBL_DATA_FIELDS[[#This Row],[FIELD_EMPTY_FLAG]],IF(NOT(DB_TBL_DATA_FIELDS[[#This Row],[FIELD_REQ_FLAG]]),-1,1),IF(NOT(DB_TBL_DATA_FIELDS[[#This Row],[FIELD_VALID_FLAG]]),0,2)))</f>
        <v>1</v>
      </c>
      <c r="O130" s="8" t="str">
        <f ca="1">IFERROR(VLOOKUP(DB_TBL_DATA_FIELDS[[#This Row],[FIELD_STATUS_CODE]],DB_TBL_CONFIG_FIELDSTATUSCODES[#All],3,FALSE),"")</f>
        <v>Required</v>
      </c>
      <c r="P130" s="8" t="str">
        <f ca="1">IFERROR(VLOOKUP(DB_TBL_DATA_FIELDS[[#This Row],[FIELD_STATUS_CODE]],DB_TBL_CONFIG_FIELDSTATUSCODES[#All],4,FALSE),"")</f>
        <v>i</v>
      </c>
      <c r="Q130" s="8" t="b">
        <f>TRUE</f>
        <v>1</v>
      </c>
      <c r="R130" s="8" t="b">
        <v>0</v>
      </c>
      <c r="S130" s="4"/>
      <c r="T130" s="8">
        <f ca="1">IF(DB_TBL_DATA_FIELDS[[#This Row],[RANGE_VALIDATION_FLAG]]="Text",LEN(DB_TBL_DATA_FIELDS[[#This Row],[FIELD_VALUE_RAW]]),IFERROR(VALUE(DB_TBL_DATA_FIELDS[[#This Row],[FIELD_VALUE_RAW]]),-1))</f>
        <v>-1</v>
      </c>
      <c r="U130" s="8">
        <v>0</v>
      </c>
      <c r="V130" s="34">
        <v>1</v>
      </c>
      <c r="W130" s="8" t="b">
        <f>IF(NOT(DB_TBL_DATA_FIELDS[[#This Row],[RANGE_VALIDATION_ON_FLAG]]),TRUE,
AND(DB_TBL_DATA_FIELDS[[#This Row],[RANGE_VALUE_LEN]]&gt;=DB_TBL_DATA_FIELDS[[#This Row],[RANGE_VALIDATION_MIN]],DB_TBL_DATA_FIELDS[[#This Row],[RANGE_VALUE_LEN]]&lt;=DB_TBL_DATA_FIELDS[[#This Row],[RANGE_VALIDATION_MAX]]))</f>
        <v>1</v>
      </c>
      <c r="X130" s="8">
        <v>1</v>
      </c>
      <c r="Y130" s="8">
        <f ca="1">IF(DB_TBL_DATA_FIELDS[[#This Row],[PCT_CALC_SHOW_STATUS_CODE]]=1,
DB_TBL_DATA_FIELDS[[#This Row],[FIELD_STATUS_CODE]],
IF(AND(DB_TBL_DATA_FIELDS[[#This Row],[PCT_CALC_SHOW_STATUS_CODE]]=2,DB_TBL_DATA_FIELDS[[#This Row],[FIELD_STATUS_CODE]]=0),
DB_TBL_DATA_FIELDS[[#This Row],[FIELD_STATUS_CODE]],
"")
)</f>
        <v>1</v>
      </c>
      <c r="Z130" s="8"/>
      <c r="AA130" s="11" t="s">
        <v>2685</v>
      </c>
      <c r="AB130" s="11" t="s">
        <v>2687</v>
      </c>
      <c r="AC130" s="8"/>
    </row>
    <row r="131" spans="1:29" ht="13.5" thickBot="1" x14ac:dyDescent="0.25">
      <c r="A131" s="67"/>
      <c r="B131" s="67" t="s">
        <v>64</v>
      </c>
      <c r="C131" s="69" t="str">
        <f ca="1">IF($H$10&lt;&gt;"R",IF(DB_TBL_DATA_FIELDS[[#This Row],[SHEET_REF_OWNER]]&lt;&gt;"",DB_TBL_DATA_FIELDS[[#This Row],[SHEET_REF_OWNER]],""),IF(DB_TBL_DATA_FIELDS[[#This Row],[SHEET_REF_RENTAL]]&lt;&gt;"",DB_TBL_DATA_FIELDS[[#This Row],[SHEET_REF_RENTAL]],""))</f>
        <v>RentalApp</v>
      </c>
      <c r="D131" s="89" t="s">
        <v>2700</v>
      </c>
      <c r="E131" s="67" t="b">
        <v>0</v>
      </c>
      <c r="F131" s="90" t="b">
        <f ca="1">AND($H$130&lt;&gt;"",$H$130=TRUE)</f>
        <v>0</v>
      </c>
      <c r="G131" s="72" t="s">
        <v>2673</v>
      </c>
      <c r="H131" s="73" t="str">
        <f ca="1">IFERROR(VLOOKUP(DB_TBL_DATA_FIELDS[[#This Row],[FIELD_ID]],INDIRECT(DB_TBL_DATA_FIELDS[[#This Row],[SHEET_REF_CALC]]&amp;"!A:B"),2,FALSE),"")</f>
        <v/>
      </c>
      <c r="I131" s="76" t="str">
        <f ca="1">IF(DB_TBL_DATA_FIELDS[[#This Row],[FIELD_VALUE_RAW]]="","",H130=TRUE)</f>
        <v/>
      </c>
      <c r="J131" s="72" t="b">
        <f ca="1">(DB_TBL_DATA_FIELDS[[#This Row],[FIELD_VALUE_RAW]]="")</f>
        <v>1</v>
      </c>
      <c r="K131" s="72" t="s">
        <v>11</v>
      </c>
      <c r="L131" s="68" t="b">
        <f ca="1">AND(IF(DB_TBL_DATA_FIELDS[[#This Row],[FIELD_VALID_CUSTOM_LOGIC]]="",TRUE,DB_TBL_DATA_FIELDS[[#This Row],[FIELD_VALID_CUSTOM_LOGIC]]),DB_TBL_DATA_FIELDS[[#This Row],[RANGE_VALIDATION_PASSED_FLAG]])</f>
        <v>1</v>
      </c>
      <c r="M131" s="7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31" s="68">
        <f ca="1">IF(DB_TBL_DATA_FIELDS[[#This Row],[SHEET_REF_CALC]]="","",IF(DB_TBL_DATA_FIELDS[[#This Row],[FIELD_EMPTY_FLAG]],IF(NOT(DB_TBL_DATA_FIELDS[[#This Row],[FIELD_REQ_FLAG]]),-1,1),IF(NOT(DB_TBL_DATA_FIELDS[[#This Row],[FIELD_VALID_FLAG]]),0,2)))</f>
        <v>-1</v>
      </c>
      <c r="O131" s="68" t="str">
        <f ca="1">IFERROR(VLOOKUP(DB_TBL_DATA_FIELDS[[#This Row],[FIELD_STATUS_CODE]],DB_TBL_CONFIG_FIELDSTATUSCODES[#All],3,FALSE),"")</f>
        <v>Optional</v>
      </c>
      <c r="P131" s="68" t="str">
        <f ca="1">IFERROR(VLOOKUP(DB_TBL_DATA_FIELDS[[#This Row],[FIELD_STATUS_CODE]],DB_TBL_CONFIG_FIELDSTATUSCODES[#All],4,FALSE),"")</f>
        <v xml:space="preserve"> </v>
      </c>
      <c r="Q131" s="68" t="b">
        <f>TRUE</f>
        <v>1</v>
      </c>
      <c r="R131" s="68" t="b">
        <v>1</v>
      </c>
      <c r="S131" s="67" t="s">
        <v>11</v>
      </c>
      <c r="T131" s="68">
        <f ca="1">IF(DB_TBL_DATA_FIELDS[[#This Row],[RANGE_VALIDATION_FLAG]]="Text",LEN(DB_TBL_DATA_FIELDS[[#This Row],[FIELD_VALUE_RAW]]),IFERROR(VALUE(DB_TBL_DATA_FIELDS[[#This Row],[FIELD_VALUE_RAW]]),-1))</f>
        <v>0</v>
      </c>
      <c r="U131" s="68">
        <v>0</v>
      </c>
      <c r="V131" s="101">
        <f>CONFIG_CHAR_LIMIT_SMALL</f>
        <v>1000</v>
      </c>
      <c r="W131" s="68" t="b">
        <f ca="1">IF(NOT(DB_TBL_DATA_FIELDS[[#This Row],[RANGE_VALIDATION_ON_FLAG]]),TRUE,
AND(DB_TBL_DATA_FIELDS[[#This Row],[RANGE_VALUE_LEN]]&gt;=DB_TBL_DATA_FIELDS[[#This Row],[RANGE_VALIDATION_MIN]],DB_TBL_DATA_FIELDS[[#This Row],[RANGE_VALUE_LEN]]&lt;=DB_TBL_DATA_FIELDS[[#This Row],[RANGE_VALIDATION_MAX]]))</f>
        <v>1</v>
      </c>
      <c r="X131" s="68">
        <v>1</v>
      </c>
      <c r="Y131" s="68">
        <f ca="1">IF(DB_TBL_DATA_FIELDS[[#This Row],[PCT_CALC_SHOW_STATUS_CODE]]=1,
DB_TBL_DATA_FIELDS[[#This Row],[FIELD_STATUS_CODE]],
IF(AND(DB_TBL_DATA_FIELDS[[#This Row],[PCT_CALC_SHOW_STATUS_CODE]]=2,DB_TBL_DATA_FIELDS[[#This Row],[FIELD_STATUS_CODE]]=0),
DB_TBL_DATA_FIELDS[[#This Row],[FIELD_STATUS_CODE]],
"")
)</f>
        <v>-1</v>
      </c>
      <c r="Z131" s="68"/>
      <c r="AA131" s="73" t="s">
        <v>2686</v>
      </c>
      <c r="AB131" s="73" t="s">
        <v>2687</v>
      </c>
      <c r="AC131" s="68"/>
    </row>
    <row r="132" spans="1:29" x14ac:dyDescent="0.2">
      <c r="A132" s="4" t="s">
        <v>65</v>
      </c>
      <c r="B132" s="4" t="s">
        <v>64</v>
      </c>
      <c r="C132" s="16" t="str">
        <f ca="1">IF($H$10&lt;&gt;"R",IF(DB_TBL_DATA_FIELDS[[#This Row],[SHEET_REF_OWNER]]&lt;&gt;"",DB_TBL_DATA_FIELDS[[#This Row],[SHEET_REF_OWNER]],""),IF(DB_TBL_DATA_FIELDS[[#This Row],[SHEET_REF_RENTAL]]&lt;&gt;"",DB_TBL_DATA_FIELDS[[#This Row],[SHEET_REF_RENTAL]],""))</f>
        <v>RentalApp</v>
      </c>
      <c r="D132" s="119" t="s">
        <v>2751</v>
      </c>
      <c r="E132" s="4" t="b">
        <v>0</v>
      </c>
      <c r="F132" s="117" t="b">
        <v>0</v>
      </c>
      <c r="G132" s="116" t="s">
        <v>2730</v>
      </c>
      <c r="H132" s="120"/>
      <c r="I132" s="11"/>
      <c r="J132" s="6" t="b">
        <f>(DB_TBL_DATA_FIELDS[[#This Row],[FIELD_VALUE_RAW]]="")</f>
        <v>1</v>
      </c>
      <c r="K132" s="6" t="s">
        <v>11</v>
      </c>
      <c r="L132" s="8" t="b">
        <f>AND(IF(DB_TBL_DATA_FIELDS[[#This Row],[FIELD_VALID_CUSTOM_LOGIC]]="",TRUE,DB_TBL_DATA_FIELDS[[#This Row],[FIELD_VALID_CUSTOM_LOGIC]]),DB_TBL_DATA_FIELDS[[#This Row],[RANGE_VALIDATION_PASSED_FLAG]])</f>
        <v>1</v>
      </c>
      <c r="M132" s="11"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32" s="8">
        <f ca="1">IF(DB_TBL_DATA_FIELDS[[#This Row],[SHEET_REF_CALC]]="","",IF(DB_TBL_DATA_FIELDS[[#This Row],[FIELD_EMPTY_FLAG]],IF(NOT(DB_TBL_DATA_FIELDS[[#This Row],[FIELD_REQ_FLAG]]),-1,1),IF(NOT(DB_TBL_DATA_FIELDS[[#This Row],[FIELD_VALID_FLAG]]),0,2)))</f>
        <v>-1</v>
      </c>
      <c r="O132" s="8" t="str">
        <f ca="1">IFERROR(VLOOKUP(DB_TBL_DATA_FIELDS[[#This Row],[FIELD_STATUS_CODE]],DB_TBL_CONFIG_FIELDSTATUSCODES[#All],3,FALSE),"")</f>
        <v>Optional</v>
      </c>
      <c r="P132" s="8" t="str">
        <f ca="1">IFERROR(VLOOKUP(DB_TBL_DATA_FIELDS[[#This Row],[FIELD_STATUS_CODE]],DB_TBL_CONFIG_FIELDSTATUSCODES[#All],4,FALSE),"")</f>
        <v xml:space="preserve"> </v>
      </c>
      <c r="Q132" s="8" t="b">
        <f>TRUE</f>
        <v>1</v>
      </c>
      <c r="R132" s="8" t="b">
        <f>TRUE</f>
        <v>1</v>
      </c>
      <c r="S132" s="4" t="s">
        <v>11</v>
      </c>
      <c r="T132" s="8">
        <f>IF(DB_TBL_DATA_FIELDS[[#This Row],[RANGE_VALIDATION_FLAG]]="Text",LEN(DB_TBL_DATA_FIELDS[[#This Row],[FIELD_VALUE_RAW]]),IFERROR(VALUE(DB_TBL_DATA_FIELDS[[#This Row],[FIELD_VALUE_RAW]]),-1))</f>
        <v>0</v>
      </c>
      <c r="U132" s="8">
        <v>0</v>
      </c>
      <c r="V132" s="34">
        <v>32767</v>
      </c>
      <c r="W132" s="8" t="b">
        <f>IF(NOT(DB_TBL_DATA_FIELDS[[#This Row],[RANGE_VALIDATION_ON_FLAG]]),TRUE,
AND(DB_TBL_DATA_FIELDS[[#This Row],[RANGE_VALUE_LEN]]&gt;=DB_TBL_DATA_FIELDS[[#This Row],[RANGE_VALIDATION_MIN]],DB_TBL_DATA_FIELDS[[#This Row],[RANGE_VALUE_LEN]]&lt;=DB_TBL_DATA_FIELDS[[#This Row],[RANGE_VALIDATION_MAX]]))</f>
        <v>1</v>
      </c>
      <c r="X132" s="8">
        <v>1</v>
      </c>
      <c r="Y132" s="8">
        <f ca="1">IF(DB_TBL_DATA_FIELDS[[#This Row],[PCT_CALC_SHOW_STATUS_CODE]]=1,
DB_TBL_DATA_FIELDS[[#This Row],[FIELD_STATUS_CODE]],
IF(AND(DB_TBL_DATA_FIELDS[[#This Row],[PCT_CALC_SHOW_STATUS_CODE]]=2,DB_TBL_DATA_FIELDS[[#This Row],[FIELD_STATUS_CODE]]=0),
DB_TBL_DATA_FIELDS[[#This Row],[FIELD_STATUS_CODE]],
"")
)</f>
        <v>-1</v>
      </c>
      <c r="Z132" s="8"/>
      <c r="AA132" s="11" t="s">
        <v>2708</v>
      </c>
      <c r="AB132" s="11" t="s">
        <v>2868</v>
      </c>
      <c r="AC132" s="8"/>
    </row>
    <row r="133" spans="1:29" x14ac:dyDescent="0.2">
      <c r="A133" s="4" t="s">
        <v>65</v>
      </c>
      <c r="B133" s="4" t="s">
        <v>64</v>
      </c>
      <c r="C133" s="16" t="str">
        <f ca="1">IF($H$10&lt;&gt;"R",IF(DB_TBL_DATA_FIELDS[[#This Row],[SHEET_REF_OWNER]]&lt;&gt;"",DB_TBL_DATA_FIELDS[[#This Row],[SHEET_REF_OWNER]],""),IF(DB_TBL_DATA_FIELDS[[#This Row],[SHEET_REF_RENTAL]]&lt;&gt;"",DB_TBL_DATA_FIELDS[[#This Row],[SHEET_REF_RENTAL]],""))</f>
        <v>RentalApp</v>
      </c>
      <c r="D133" s="4" t="s">
        <v>2752</v>
      </c>
      <c r="E133" s="4" t="b">
        <v>0</v>
      </c>
      <c r="F133" s="25" t="b">
        <v>1</v>
      </c>
      <c r="G133" s="6" t="s">
        <v>2731</v>
      </c>
      <c r="H133" s="11" t="str">
        <f ca="1">IFERROR(VLOOKUP(DB_TBL_DATA_FIELDS[[#This Row],[FIELD_ID]],INDIRECT(DB_TBL_DATA_FIELDS[[#This Row],[SHEET_REF_CALC]]&amp;"!A:B"),2,FALSE),"")</f>
        <v/>
      </c>
      <c r="I133" s="11"/>
      <c r="J133" s="6" t="b">
        <f ca="1">(DB_TBL_DATA_FIELDS[[#This Row],[FIELD_VALUE_RAW]]="")</f>
        <v>1</v>
      </c>
      <c r="K133" s="6" t="s">
        <v>11</v>
      </c>
      <c r="L133" s="8" t="b">
        <f ca="1">AND(IF(DB_TBL_DATA_FIELDS[[#This Row],[FIELD_VALID_CUSTOM_LOGIC]]="",TRUE,DB_TBL_DATA_FIELDS[[#This Row],[FIELD_VALID_CUSTOM_LOGIC]]),DB_TBL_DATA_FIELDS[[#This Row],[RANGE_VALIDATION_PASSED_FLAG]])</f>
        <v>1</v>
      </c>
      <c r="M133"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33" s="8">
        <f ca="1">IF(DB_TBL_DATA_FIELDS[[#This Row],[SHEET_REF_CALC]]="","",IF(DB_TBL_DATA_FIELDS[[#This Row],[FIELD_EMPTY_FLAG]],IF(NOT(DB_TBL_DATA_FIELDS[[#This Row],[FIELD_REQ_FLAG]]),-1,1),IF(NOT(DB_TBL_DATA_FIELDS[[#This Row],[FIELD_VALID_FLAG]]),0,2)))</f>
        <v>1</v>
      </c>
      <c r="O133" s="8" t="str">
        <f ca="1">IFERROR(VLOOKUP(DB_TBL_DATA_FIELDS[[#This Row],[FIELD_STATUS_CODE]],DB_TBL_CONFIG_FIELDSTATUSCODES[#All],3,FALSE),"")</f>
        <v>Required</v>
      </c>
      <c r="P133" s="8" t="str">
        <f ca="1">IFERROR(VLOOKUP(DB_TBL_DATA_FIELDS[[#This Row],[FIELD_STATUS_CODE]],DB_TBL_CONFIG_FIELDSTATUSCODES[#All],4,FALSE),"")</f>
        <v>i</v>
      </c>
      <c r="Q133" s="8" t="b">
        <f>TRUE</f>
        <v>1</v>
      </c>
      <c r="R133" s="8" t="b">
        <f>TRUE</f>
        <v>1</v>
      </c>
      <c r="S133" s="4" t="s">
        <v>11</v>
      </c>
      <c r="T133" s="8">
        <f ca="1">IF(DB_TBL_DATA_FIELDS[[#This Row],[RANGE_VALIDATION_FLAG]]="Text",LEN(DB_TBL_DATA_FIELDS[[#This Row],[FIELD_VALUE_RAW]]),IFERROR(VALUE(DB_TBL_DATA_FIELDS[[#This Row],[FIELD_VALUE_RAW]]),-1))</f>
        <v>0</v>
      </c>
      <c r="U133" s="8">
        <v>0</v>
      </c>
      <c r="V133" s="34">
        <v>32767</v>
      </c>
      <c r="W133" s="8" t="b">
        <f ca="1">IF(NOT(DB_TBL_DATA_FIELDS[[#This Row],[RANGE_VALIDATION_ON_FLAG]]),TRUE,
AND(DB_TBL_DATA_FIELDS[[#This Row],[RANGE_VALUE_LEN]]&gt;=DB_TBL_DATA_FIELDS[[#This Row],[RANGE_VALIDATION_MIN]],DB_TBL_DATA_FIELDS[[#This Row],[RANGE_VALUE_LEN]]&lt;=DB_TBL_DATA_FIELDS[[#This Row],[RANGE_VALIDATION_MAX]]))</f>
        <v>1</v>
      </c>
      <c r="X133" s="8">
        <v>1</v>
      </c>
      <c r="Y133" s="8">
        <f ca="1">IF(DB_TBL_DATA_FIELDS[[#This Row],[PCT_CALC_SHOW_STATUS_CODE]]=1,
DB_TBL_DATA_FIELDS[[#This Row],[FIELD_STATUS_CODE]],
IF(AND(DB_TBL_DATA_FIELDS[[#This Row],[PCT_CALC_SHOW_STATUS_CODE]]=2,DB_TBL_DATA_FIELDS[[#This Row],[FIELD_STATUS_CODE]]=0),
DB_TBL_DATA_FIELDS[[#This Row],[FIELD_STATUS_CODE]],
"")
)</f>
        <v>1</v>
      </c>
      <c r="Z133" s="8"/>
      <c r="AA133" s="11" t="s">
        <v>2709</v>
      </c>
      <c r="AB133" s="11" t="s">
        <v>2868</v>
      </c>
      <c r="AC133" s="8"/>
    </row>
    <row r="134" spans="1:29" x14ac:dyDescent="0.2">
      <c r="A134" s="4" t="s">
        <v>65</v>
      </c>
      <c r="B134" s="4" t="s">
        <v>64</v>
      </c>
      <c r="C134" s="16" t="str">
        <f ca="1">IF($H$10&lt;&gt;"R",IF(DB_TBL_DATA_FIELDS[[#This Row],[SHEET_REF_OWNER]]&lt;&gt;"",DB_TBL_DATA_FIELDS[[#This Row],[SHEET_REF_OWNER]],""),IF(DB_TBL_DATA_FIELDS[[#This Row],[SHEET_REF_RENTAL]]&lt;&gt;"",DB_TBL_DATA_FIELDS[[#This Row],[SHEET_REF_RENTAL]],""))</f>
        <v>RentalApp</v>
      </c>
      <c r="D134" s="4" t="s">
        <v>3735</v>
      </c>
      <c r="E134" s="395" t="b">
        <v>1</v>
      </c>
      <c r="F134" s="403" t="b">
        <v>1</v>
      </c>
      <c r="G134" s="6" t="s">
        <v>3737</v>
      </c>
      <c r="H134" s="397" t="str">
        <f ca="1">IFERROR(VLOOKUP(DB_TBL_DATA_FIELDS[[#This Row],[FIELD_ID]],INDIRECT(DB_TBL_DATA_FIELDS[[#This Row],[SHEET_REF_CALC]]&amp;"!A:B"),2,FALSE),"")</f>
        <v/>
      </c>
      <c r="I134" s="397"/>
      <c r="J134" s="396" t="b">
        <f ca="1">(DB_TBL_DATA_FIELDS[[#This Row],[FIELD_VALUE_RAW]]="")</f>
        <v>1</v>
      </c>
      <c r="K134" s="6" t="s">
        <v>209</v>
      </c>
      <c r="L134" s="398" t="b">
        <f>AND(IF(DB_TBL_DATA_FIELDS[[#This Row],[FIELD_VALID_CUSTOM_LOGIC]]="",TRUE,DB_TBL_DATA_FIELDS[[#This Row],[FIELD_VALID_CUSTOM_LOGIC]]),DB_TBL_DATA_FIELDS[[#This Row],[RANGE_VALIDATION_PASSED_FLAG]])</f>
        <v>1</v>
      </c>
      <c r="M134" s="397"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34" s="398">
        <f ca="1">IF(DB_TBL_DATA_FIELDS[[#This Row],[SHEET_REF_CALC]]="","",IF(DB_TBL_DATA_FIELDS[[#This Row],[FIELD_EMPTY_FLAG]],IF(NOT(DB_TBL_DATA_FIELDS[[#This Row],[FIELD_REQ_FLAG]]),-1,1),IF(NOT(DB_TBL_DATA_FIELDS[[#This Row],[FIELD_VALID_FLAG]]),0,2)))</f>
        <v>1</v>
      </c>
      <c r="O134" s="398" t="str">
        <f ca="1">IFERROR(VLOOKUP(DB_TBL_DATA_FIELDS[[#This Row],[FIELD_STATUS_CODE]],DB_TBL_CONFIG_FIELDSTATUSCODES[#All],3,FALSE),"")</f>
        <v>Required</v>
      </c>
      <c r="P134" s="398" t="str">
        <f ca="1">IFERROR(VLOOKUP(DB_TBL_DATA_FIELDS[[#This Row],[FIELD_STATUS_CODE]],DB_TBL_CONFIG_FIELDSTATUSCODES[#All],4,FALSE),"")</f>
        <v>i</v>
      </c>
      <c r="Q134" s="398" t="b">
        <f>TRUE</f>
        <v>1</v>
      </c>
      <c r="R134" s="8" t="b">
        <v>0</v>
      </c>
      <c r="S134" s="395"/>
      <c r="T134" s="398">
        <f ca="1">IF(DB_TBL_DATA_FIELDS[[#This Row],[RANGE_VALIDATION_FLAG]]="Text",LEN(DB_TBL_DATA_FIELDS[[#This Row],[FIELD_VALUE_RAW]]),IFERROR(VALUE(DB_TBL_DATA_FIELDS[[#This Row],[FIELD_VALUE_RAW]]),-1))</f>
        <v>-1</v>
      </c>
      <c r="U134" s="398">
        <v>0</v>
      </c>
      <c r="V134" s="404">
        <v>1</v>
      </c>
      <c r="W134" s="398" t="b">
        <f>IF(NOT(DB_TBL_DATA_FIELDS[[#This Row],[RANGE_VALIDATION_ON_FLAG]]),TRUE,
AND(DB_TBL_DATA_FIELDS[[#This Row],[RANGE_VALUE_LEN]]&gt;=DB_TBL_DATA_FIELDS[[#This Row],[RANGE_VALIDATION_MIN]],DB_TBL_DATA_FIELDS[[#This Row],[RANGE_VALUE_LEN]]&lt;=DB_TBL_DATA_FIELDS[[#This Row],[RANGE_VALIDATION_MAX]]))</f>
        <v>1</v>
      </c>
      <c r="X134" s="398">
        <v>1</v>
      </c>
      <c r="Y134" s="398">
        <f ca="1">IF(DB_TBL_DATA_FIELDS[[#This Row],[PCT_CALC_SHOW_STATUS_CODE]]=1,
DB_TBL_DATA_FIELDS[[#This Row],[FIELD_STATUS_CODE]],
IF(AND(DB_TBL_DATA_FIELDS[[#This Row],[PCT_CALC_SHOW_STATUS_CODE]]=2,DB_TBL_DATA_FIELDS[[#This Row],[FIELD_STATUS_CODE]]=0),
DB_TBL_DATA_FIELDS[[#This Row],[FIELD_STATUS_CODE]],
"")
)</f>
        <v>1</v>
      </c>
      <c r="Z134" s="398" t="str">
        <f ca="1">IF(AND(DB_TBL_DATA_FIELDS[[#This Row],[FIELD_VALUE_RAW]]&lt;&gt;"",DB_TBL_DATA_FIELDS[[#This Row],[FIELD_VALUE_RAW]]=FALSE),"Responses in this section do not meet AHP eligibility requirements and the application will be disqualified.","")</f>
        <v/>
      </c>
      <c r="AA134" s="397"/>
      <c r="AB134" s="11" t="s">
        <v>2868</v>
      </c>
      <c r="AC134" s="8" t="s">
        <v>3723</v>
      </c>
    </row>
    <row r="135" spans="1:29" x14ac:dyDescent="0.2">
      <c r="A135" s="4" t="s">
        <v>65</v>
      </c>
      <c r="B135" s="4" t="s">
        <v>64</v>
      </c>
      <c r="C135" s="16" t="str">
        <f ca="1">IF($H$10&lt;&gt;"R",IF(DB_TBL_DATA_FIELDS[[#This Row],[SHEET_REF_OWNER]]&lt;&gt;"",DB_TBL_DATA_FIELDS[[#This Row],[SHEET_REF_OWNER]],""),IF(DB_TBL_DATA_FIELDS[[#This Row],[SHEET_REF_RENTAL]]&lt;&gt;"",DB_TBL_DATA_FIELDS[[#This Row],[SHEET_REF_RENTAL]],""))</f>
        <v>RentalApp</v>
      </c>
      <c r="D135" s="4" t="s">
        <v>3736</v>
      </c>
      <c r="E135" s="395" t="b">
        <v>1</v>
      </c>
      <c r="F135" s="403" t="b">
        <v>1</v>
      </c>
      <c r="G135" s="6" t="s">
        <v>3738</v>
      </c>
      <c r="H135" s="397" t="str">
        <f ca="1">IFERROR(VLOOKUP(DB_TBL_DATA_FIELDS[[#This Row],[FIELD_ID]],INDIRECT(DB_TBL_DATA_FIELDS[[#This Row],[SHEET_REF_CALC]]&amp;"!A:B"),2,FALSE),"")</f>
        <v/>
      </c>
      <c r="I135" s="397"/>
      <c r="J135" s="396" t="b">
        <f ca="1">(DB_TBL_DATA_FIELDS[[#This Row],[FIELD_VALUE_RAW]]="")</f>
        <v>1</v>
      </c>
      <c r="K135" s="6" t="s">
        <v>209</v>
      </c>
      <c r="L135" s="398" t="b">
        <f>AND(IF(DB_TBL_DATA_FIELDS[[#This Row],[FIELD_VALID_CUSTOM_LOGIC]]="",TRUE,DB_TBL_DATA_FIELDS[[#This Row],[FIELD_VALID_CUSTOM_LOGIC]]),DB_TBL_DATA_FIELDS[[#This Row],[RANGE_VALIDATION_PASSED_FLAG]])</f>
        <v>1</v>
      </c>
      <c r="M135" s="397"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35" s="398">
        <f ca="1">IF(DB_TBL_DATA_FIELDS[[#This Row],[SHEET_REF_CALC]]="","",IF(DB_TBL_DATA_FIELDS[[#This Row],[FIELD_EMPTY_FLAG]],IF(NOT(DB_TBL_DATA_FIELDS[[#This Row],[FIELD_REQ_FLAG]]),-1,1),IF(NOT(DB_TBL_DATA_FIELDS[[#This Row],[FIELD_VALID_FLAG]]),0,2)))</f>
        <v>1</v>
      </c>
      <c r="O135" s="398" t="str">
        <f ca="1">IFERROR(VLOOKUP(DB_TBL_DATA_FIELDS[[#This Row],[FIELD_STATUS_CODE]],DB_TBL_CONFIG_FIELDSTATUSCODES[#All],3,FALSE),"")</f>
        <v>Required</v>
      </c>
      <c r="P135" s="398" t="str">
        <f ca="1">IFERROR(VLOOKUP(DB_TBL_DATA_FIELDS[[#This Row],[FIELD_STATUS_CODE]],DB_TBL_CONFIG_FIELDSTATUSCODES[#All],4,FALSE),"")</f>
        <v>i</v>
      </c>
      <c r="Q135" s="398" t="b">
        <f>TRUE</f>
        <v>1</v>
      </c>
      <c r="R135" s="8" t="b">
        <v>0</v>
      </c>
      <c r="S135" s="395"/>
      <c r="T135" s="398">
        <f ca="1">IF(DB_TBL_DATA_FIELDS[[#This Row],[RANGE_VALIDATION_FLAG]]="Text",LEN(DB_TBL_DATA_FIELDS[[#This Row],[FIELD_VALUE_RAW]]),IFERROR(VALUE(DB_TBL_DATA_FIELDS[[#This Row],[FIELD_VALUE_RAW]]),-1))</f>
        <v>-1</v>
      </c>
      <c r="U135" s="398">
        <v>0</v>
      </c>
      <c r="V135" s="404">
        <v>1</v>
      </c>
      <c r="W135" s="398" t="b">
        <f>IF(NOT(DB_TBL_DATA_FIELDS[[#This Row],[RANGE_VALIDATION_ON_FLAG]]),TRUE,
AND(DB_TBL_DATA_FIELDS[[#This Row],[RANGE_VALUE_LEN]]&gt;=DB_TBL_DATA_FIELDS[[#This Row],[RANGE_VALIDATION_MIN]],DB_TBL_DATA_FIELDS[[#This Row],[RANGE_VALUE_LEN]]&lt;=DB_TBL_DATA_FIELDS[[#This Row],[RANGE_VALIDATION_MAX]]))</f>
        <v>1</v>
      </c>
      <c r="X135" s="398">
        <v>1</v>
      </c>
      <c r="Y135" s="398">
        <f ca="1">IF(DB_TBL_DATA_FIELDS[[#This Row],[PCT_CALC_SHOW_STATUS_CODE]]=1,
DB_TBL_DATA_FIELDS[[#This Row],[FIELD_STATUS_CODE]],
IF(AND(DB_TBL_DATA_FIELDS[[#This Row],[PCT_CALC_SHOW_STATUS_CODE]]=2,DB_TBL_DATA_FIELDS[[#This Row],[FIELD_STATUS_CODE]]=0),
DB_TBL_DATA_FIELDS[[#This Row],[FIELD_STATUS_CODE]],
"")
)</f>
        <v>1</v>
      </c>
      <c r="Z135" s="398"/>
      <c r="AA135" s="397"/>
      <c r="AB135" s="11" t="s">
        <v>2868</v>
      </c>
      <c r="AC135" s="8" t="s">
        <v>3723</v>
      </c>
    </row>
    <row r="136" spans="1:29" x14ac:dyDescent="0.2">
      <c r="A136" s="4"/>
      <c r="B136" s="4" t="s">
        <v>64</v>
      </c>
      <c r="C136" s="16" t="str">
        <f ca="1">IF($H$10&lt;&gt;"R",IF(DB_TBL_DATA_FIELDS[[#This Row],[SHEET_REF_OWNER]]&lt;&gt;"",DB_TBL_DATA_FIELDS[[#This Row],[SHEET_REF_OWNER]],""),IF(DB_TBL_DATA_FIELDS[[#This Row],[SHEET_REF_RENTAL]]&lt;&gt;"",DB_TBL_DATA_FIELDS[[#This Row],[SHEET_REF_RENTAL]],""))</f>
        <v>RentalApp</v>
      </c>
      <c r="D136" s="89" t="s">
        <v>2753</v>
      </c>
      <c r="E136" s="4" t="b">
        <v>0</v>
      </c>
      <c r="F136" s="25" t="b">
        <v>1</v>
      </c>
      <c r="G136" s="6" t="s">
        <v>2732</v>
      </c>
      <c r="H136" s="11" t="str">
        <f ca="1">IFERROR(VLOOKUP(DB_TBL_DATA_FIELDS[[#This Row],[FIELD_ID]],INDIRECT(DB_TBL_DATA_FIELDS[[#This Row],[SHEET_REF_CALC]]&amp;"!A:B"),2,FALSE),"")</f>
        <v/>
      </c>
      <c r="I136" s="11"/>
      <c r="J136" s="6" t="b">
        <f ca="1">(DB_TBL_DATA_FIELDS[[#This Row],[FIELD_VALUE_RAW]]="")</f>
        <v>1</v>
      </c>
      <c r="K136" s="6" t="s">
        <v>11</v>
      </c>
      <c r="L136" s="8" t="b">
        <f ca="1">AND(IF(DB_TBL_DATA_FIELDS[[#This Row],[FIELD_VALID_CUSTOM_LOGIC]]="",TRUE,DB_TBL_DATA_FIELDS[[#This Row],[FIELD_VALID_CUSTOM_LOGIC]]),DB_TBL_DATA_FIELDS[[#This Row],[RANGE_VALIDATION_PASSED_FLAG]])</f>
        <v>1</v>
      </c>
      <c r="M136"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36" s="8">
        <f ca="1">IF(DB_TBL_DATA_FIELDS[[#This Row],[SHEET_REF_CALC]]="","",IF(DB_TBL_DATA_FIELDS[[#This Row],[FIELD_EMPTY_FLAG]],IF(NOT(DB_TBL_DATA_FIELDS[[#This Row],[FIELD_REQ_FLAG]]),-1,1),IF(NOT(DB_TBL_DATA_FIELDS[[#This Row],[FIELD_VALID_FLAG]]),0,2)))</f>
        <v>1</v>
      </c>
      <c r="O136" s="8" t="str">
        <f ca="1">IFERROR(VLOOKUP(DB_TBL_DATA_FIELDS[[#This Row],[FIELD_STATUS_CODE]],DB_TBL_CONFIG_FIELDSTATUSCODES[#All],3,FALSE),"")</f>
        <v>Required</v>
      </c>
      <c r="P136" s="8" t="str">
        <f ca="1">IFERROR(VLOOKUP(DB_TBL_DATA_FIELDS[[#This Row],[FIELD_STATUS_CODE]],DB_TBL_CONFIG_FIELDSTATUSCODES[#All],4,FALSE),"")</f>
        <v>i</v>
      </c>
      <c r="Q136" s="8" t="b">
        <f>TRUE</f>
        <v>1</v>
      </c>
      <c r="R136" s="8" t="b">
        <f>TRUE</f>
        <v>1</v>
      </c>
      <c r="S136" s="4" t="s">
        <v>11</v>
      </c>
      <c r="T136" s="8">
        <f ca="1">IF(DB_TBL_DATA_FIELDS[[#This Row],[RANGE_VALIDATION_FLAG]]="Text",LEN(DB_TBL_DATA_FIELDS[[#This Row],[FIELD_VALUE_RAW]]),IFERROR(VALUE(DB_TBL_DATA_FIELDS[[#This Row],[FIELD_VALUE_RAW]]),-1))</f>
        <v>0</v>
      </c>
      <c r="U136" s="8">
        <v>0</v>
      </c>
      <c r="V136" s="101">
        <f>CONFIG_CHAR_LIMIT_MEDIUM</f>
        <v>1500</v>
      </c>
      <c r="W136" s="8" t="b">
        <f ca="1">IF(NOT(DB_TBL_DATA_FIELDS[[#This Row],[RANGE_VALIDATION_ON_FLAG]]),TRUE,
AND(DB_TBL_DATA_FIELDS[[#This Row],[RANGE_VALUE_LEN]]&gt;=DB_TBL_DATA_FIELDS[[#This Row],[RANGE_VALIDATION_MIN]],DB_TBL_DATA_FIELDS[[#This Row],[RANGE_VALUE_LEN]]&lt;=DB_TBL_DATA_FIELDS[[#This Row],[RANGE_VALIDATION_MAX]]))</f>
        <v>1</v>
      </c>
      <c r="X136" s="8">
        <v>1</v>
      </c>
      <c r="Y136" s="8">
        <f ca="1">IF(DB_TBL_DATA_FIELDS[[#This Row],[PCT_CALC_SHOW_STATUS_CODE]]=1,
DB_TBL_DATA_FIELDS[[#This Row],[FIELD_STATUS_CODE]],
IF(AND(DB_TBL_DATA_FIELDS[[#This Row],[PCT_CALC_SHOW_STATUS_CODE]]=2,DB_TBL_DATA_FIELDS[[#This Row],[FIELD_STATUS_CODE]]=0),
DB_TBL_DATA_FIELDS[[#This Row],[FIELD_STATUS_CODE]],
"")
)</f>
        <v>1</v>
      </c>
      <c r="Z136" s="8"/>
      <c r="AA136" s="11" t="s">
        <v>2710</v>
      </c>
      <c r="AB136" s="11" t="s">
        <v>2868</v>
      </c>
      <c r="AC136" s="8"/>
    </row>
    <row r="137" spans="1:29" x14ac:dyDescent="0.2">
      <c r="A137" s="4" t="s">
        <v>65</v>
      </c>
      <c r="B137" s="4" t="s">
        <v>64</v>
      </c>
      <c r="C137" s="16" t="str">
        <f ca="1">IF($H$10&lt;&gt;"R",IF(DB_TBL_DATA_FIELDS[[#This Row],[SHEET_REF_OWNER]]&lt;&gt;"",DB_TBL_DATA_FIELDS[[#This Row],[SHEET_REF_OWNER]],""),IF(DB_TBL_DATA_FIELDS[[#This Row],[SHEET_REF_RENTAL]]&lt;&gt;"",DB_TBL_DATA_FIELDS[[#This Row],[SHEET_REF_RENTAL]],""))</f>
        <v>RentalApp</v>
      </c>
      <c r="D137" s="4" t="s">
        <v>2754</v>
      </c>
      <c r="E137" s="4" t="b">
        <v>0</v>
      </c>
      <c r="F137" s="25" t="b">
        <v>1</v>
      </c>
      <c r="G137" s="6" t="s">
        <v>2733</v>
      </c>
      <c r="H137" s="11" t="str">
        <f ca="1">IFERROR(VLOOKUP(DB_TBL_DATA_FIELDS[[#This Row],[FIELD_ID]],INDIRECT(DB_TBL_DATA_FIELDS[[#This Row],[SHEET_REF_CALC]]&amp;"!A:B"),2,FALSE),"")</f>
        <v/>
      </c>
      <c r="I137" s="11"/>
      <c r="J137" s="6" t="b">
        <f ca="1">(DB_TBL_DATA_FIELDS[[#This Row],[FIELD_VALUE_RAW]]="")</f>
        <v>1</v>
      </c>
      <c r="K137" s="6" t="s">
        <v>11</v>
      </c>
      <c r="L137" s="8" t="b">
        <f ca="1">AND(IF(DB_TBL_DATA_FIELDS[[#This Row],[FIELD_VALID_CUSTOM_LOGIC]]="",TRUE,DB_TBL_DATA_FIELDS[[#This Row],[FIELD_VALID_CUSTOM_LOGIC]]),DB_TBL_DATA_FIELDS[[#This Row],[RANGE_VALIDATION_PASSED_FLAG]])</f>
        <v>1</v>
      </c>
      <c r="M137"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37" s="8">
        <f ca="1">IF(DB_TBL_DATA_FIELDS[[#This Row],[SHEET_REF_CALC]]="","",IF(DB_TBL_DATA_FIELDS[[#This Row],[FIELD_EMPTY_FLAG]],IF(NOT(DB_TBL_DATA_FIELDS[[#This Row],[FIELD_REQ_FLAG]]),-1,1),IF(NOT(DB_TBL_DATA_FIELDS[[#This Row],[FIELD_VALID_FLAG]]),0,2)))</f>
        <v>1</v>
      </c>
      <c r="O137" s="8" t="str">
        <f ca="1">IFERROR(VLOOKUP(DB_TBL_DATA_FIELDS[[#This Row],[FIELD_STATUS_CODE]],DB_TBL_CONFIG_FIELDSTATUSCODES[#All],3,FALSE),"")</f>
        <v>Required</v>
      </c>
      <c r="P137" s="8" t="str">
        <f ca="1">IFERROR(VLOOKUP(DB_TBL_DATA_FIELDS[[#This Row],[FIELD_STATUS_CODE]],DB_TBL_CONFIG_FIELDSTATUSCODES[#All],4,FALSE),"")</f>
        <v>i</v>
      </c>
      <c r="Q137" s="8" t="b">
        <f>TRUE</f>
        <v>1</v>
      </c>
      <c r="R137" s="8" t="b">
        <f>TRUE</f>
        <v>1</v>
      </c>
      <c r="S137" s="4" t="s">
        <v>11</v>
      </c>
      <c r="T137" s="8">
        <f ca="1">IF(DB_TBL_DATA_FIELDS[[#This Row],[RANGE_VALIDATION_FLAG]]="Text",LEN(DB_TBL_DATA_FIELDS[[#This Row],[FIELD_VALUE_RAW]]),IFERROR(VALUE(DB_TBL_DATA_FIELDS[[#This Row],[FIELD_VALUE_RAW]]),-1))</f>
        <v>0</v>
      </c>
      <c r="U137" s="8">
        <v>0</v>
      </c>
      <c r="V137" s="101">
        <f>CONFIG_CHAR_LIMIT_LARGE</f>
        <v>2000</v>
      </c>
      <c r="W137" s="8" t="b">
        <f ca="1">IF(NOT(DB_TBL_DATA_FIELDS[[#This Row],[RANGE_VALIDATION_ON_FLAG]]),TRUE,
AND(DB_TBL_DATA_FIELDS[[#This Row],[RANGE_VALUE_LEN]]&gt;=DB_TBL_DATA_FIELDS[[#This Row],[RANGE_VALIDATION_MIN]],DB_TBL_DATA_FIELDS[[#This Row],[RANGE_VALUE_LEN]]&lt;=DB_TBL_DATA_FIELDS[[#This Row],[RANGE_VALIDATION_MAX]]))</f>
        <v>1</v>
      </c>
      <c r="X137" s="8">
        <v>1</v>
      </c>
      <c r="Y137" s="8">
        <f ca="1">IF(DB_TBL_DATA_FIELDS[[#This Row],[PCT_CALC_SHOW_STATUS_CODE]]=1,
DB_TBL_DATA_FIELDS[[#This Row],[FIELD_STATUS_CODE]],
IF(AND(DB_TBL_DATA_FIELDS[[#This Row],[PCT_CALC_SHOW_STATUS_CODE]]=2,DB_TBL_DATA_FIELDS[[#This Row],[FIELD_STATUS_CODE]]=0),
DB_TBL_DATA_FIELDS[[#This Row],[FIELD_STATUS_CODE]],
"")
)</f>
        <v>1</v>
      </c>
      <c r="Z137" s="8"/>
      <c r="AA137" s="11" t="s">
        <v>2711</v>
      </c>
      <c r="AB137" s="11" t="s">
        <v>2868</v>
      </c>
      <c r="AC137" s="8"/>
    </row>
    <row r="138" spans="1:29" x14ac:dyDescent="0.2">
      <c r="A138" s="4" t="s">
        <v>65</v>
      </c>
      <c r="B138" s="4" t="s">
        <v>64</v>
      </c>
      <c r="C138" s="16" t="str">
        <f ca="1">IF($H$10&lt;&gt;"R",IF(DB_TBL_DATA_FIELDS[[#This Row],[SHEET_REF_OWNER]]&lt;&gt;"",DB_TBL_DATA_FIELDS[[#This Row],[SHEET_REF_OWNER]],""),IF(DB_TBL_DATA_FIELDS[[#This Row],[SHEET_REF_RENTAL]]&lt;&gt;"",DB_TBL_DATA_FIELDS[[#This Row],[SHEET_REF_RENTAL]],""))</f>
        <v>RentalApp</v>
      </c>
      <c r="D138" s="4" t="s">
        <v>2755</v>
      </c>
      <c r="E138" s="4" t="b">
        <v>0</v>
      </c>
      <c r="F138" s="25" t="b">
        <v>0</v>
      </c>
      <c r="G138" s="6" t="s">
        <v>2734</v>
      </c>
      <c r="H138" s="11" t="str">
        <f ca="1">IFERROR(VLOOKUP(DB_TBL_DATA_FIELDS[[#This Row],[FIELD_ID]],INDIRECT(DB_TBL_DATA_FIELDS[[#This Row],[SHEET_REF_CALC]]&amp;"!A:B"),2,FALSE),"")</f>
        <v/>
      </c>
      <c r="I138" s="11"/>
      <c r="J138" s="6" t="b">
        <f ca="1">(DB_TBL_DATA_FIELDS[[#This Row],[FIELD_VALUE_RAW]]="")</f>
        <v>1</v>
      </c>
      <c r="K138" s="6" t="s">
        <v>11</v>
      </c>
      <c r="L138" s="8" t="b">
        <f ca="1">AND(IF(DB_TBL_DATA_FIELDS[[#This Row],[FIELD_VALID_CUSTOM_LOGIC]]="",TRUE,DB_TBL_DATA_FIELDS[[#This Row],[FIELD_VALID_CUSTOM_LOGIC]]),DB_TBL_DATA_FIELDS[[#This Row],[RANGE_VALIDATION_PASSED_FLAG]])</f>
        <v>1</v>
      </c>
      <c r="M138"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38" s="8">
        <f ca="1">IF(DB_TBL_DATA_FIELDS[[#This Row],[SHEET_REF_CALC]]="","",IF(DB_TBL_DATA_FIELDS[[#This Row],[FIELD_EMPTY_FLAG]],IF(NOT(DB_TBL_DATA_FIELDS[[#This Row],[FIELD_REQ_FLAG]]),-1,1),IF(NOT(DB_TBL_DATA_FIELDS[[#This Row],[FIELD_VALID_FLAG]]),0,2)))</f>
        <v>-1</v>
      </c>
      <c r="O138" s="8" t="str">
        <f ca="1">IFERROR(VLOOKUP(DB_TBL_DATA_FIELDS[[#This Row],[FIELD_STATUS_CODE]],DB_TBL_CONFIG_FIELDSTATUSCODES[#All],3,FALSE),"")</f>
        <v>Optional</v>
      </c>
      <c r="P138" s="8" t="str">
        <f ca="1">IFERROR(VLOOKUP(DB_TBL_DATA_FIELDS[[#This Row],[FIELD_STATUS_CODE]],DB_TBL_CONFIG_FIELDSTATUSCODES[#All],4,FALSE),"")</f>
        <v xml:space="preserve"> </v>
      </c>
      <c r="Q138" s="8" t="b">
        <f>TRUE</f>
        <v>1</v>
      </c>
      <c r="R138" s="8" t="b">
        <f>TRUE</f>
        <v>1</v>
      </c>
      <c r="S138" s="4" t="s">
        <v>11</v>
      </c>
      <c r="T138" s="8">
        <f ca="1">IF(DB_TBL_DATA_FIELDS[[#This Row],[RANGE_VALIDATION_FLAG]]="Text",LEN(DB_TBL_DATA_FIELDS[[#This Row],[FIELD_VALUE_RAW]]),IFERROR(VALUE(DB_TBL_DATA_FIELDS[[#This Row],[FIELD_VALUE_RAW]]),-1))</f>
        <v>0</v>
      </c>
      <c r="U138" s="8">
        <v>0</v>
      </c>
      <c r="V138" s="101">
        <f>CONFIG_CHAR_LIMIT_LARGE</f>
        <v>2000</v>
      </c>
      <c r="W138" s="8" t="b">
        <f ca="1">IF(NOT(DB_TBL_DATA_FIELDS[[#This Row],[RANGE_VALIDATION_ON_FLAG]]),TRUE,
AND(DB_TBL_DATA_FIELDS[[#This Row],[RANGE_VALUE_LEN]]&gt;=DB_TBL_DATA_FIELDS[[#This Row],[RANGE_VALIDATION_MIN]],DB_TBL_DATA_FIELDS[[#This Row],[RANGE_VALUE_LEN]]&lt;=DB_TBL_DATA_FIELDS[[#This Row],[RANGE_VALIDATION_MAX]]))</f>
        <v>1</v>
      </c>
      <c r="X138" s="8">
        <v>1</v>
      </c>
      <c r="Y138" s="8">
        <f ca="1">IF(DB_TBL_DATA_FIELDS[[#This Row],[PCT_CALC_SHOW_STATUS_CODE]]=1,
DB_TBL_DATA_FIELDS[[#This Row],[FIELD_STATUS_CODE]],
IF(AND(DB_TBL_DATA_FIELDS[[#This Row],[PCT_CALC_SHOW_STATUS_CODE]]=2,DB_TBL_DATA_FIELDS[[#This Row],[FIELD_STATUS_CODE]]=0),
DB_TBL_DATA_FIELDS[[#This Row],[FIELD_STATUS_CODE]],
"")
)</f>
        <v>-1</v>
      </c>
      <c r="Z138" s="8"/>
      <c r="AA138" s="11" t="s">
        <v>2712</v>
      </c>
      <c r="AB138" s="11" t="s">
        <v>2868</v>
      </c>
      <c r="AC138" s="8"/>
    </row>
    <row r="139" spans="1:29" x14ac:dyDescent="0.2">
      <c r="A139" s="4" t="s">
        <v>65</v>
      </c>
      <c r="B139" s="4" t="s">
        <v>64</v>
      </c>
      <c r="C139" s="16" t="str">
        <f ca="1">IF($H$10&lt;&gt;"R",IF(DB_TBL_DATA_FIELDS[[#This Row],[SHEET_REF_OWNER]]&lt;&gt;"",DB_TBL_DATA_FIELDS[[#This Row],[SHEET_REF_OWNER]],""),IF(DB_TBL_DATA_FIELDS[[#This Row],[SHEET_REF_RENTAL]]&lt;&gt;"",DB_TBL_DATA_FIELDS[[#This Row],[SHEET_REF_RENTAL]],""))</f>
        <v>RentalApp</v>
      </c>
      <c r="D139" s="4" t="s">
        <v>2756</v>
      </c>
      <c r="E139" s="4" t="b">
        <v>0</v>
      </c>
      <c r="F139" s="25" t="b">
        <v>0</v>
      </c>
      <c r="G139" s="6" t="s">
        <v>2735</v>
      </c>
      <c r="H139" s="11" t="str">
        <f ca="1">IFERROR(VLOOKUP(DB_TBL_DATA_FIELDS[[#This Row],[FIELD_ID]],INDIRECT(DB_TBL_DATA_FIELDS[[#This Row],[SHEET_REF_CALC]]&amp;"!A:B"),2,FALSE),"")</f>
        <v/>
      </c>
      <c r="I139" s="11"/>
      <c r="J139" s="6" t="b">
        <f ca="1">(DB_TBL_DATA_FIELDS[[#This Row],[FIELD_VALUE_RAW]]="")</f>
        <v>1</v>
      </c>
      <c r="K139" s="6" t="s">
        <v>11</v>
      </c>
      <c r="L139" s="8" t="b">
        <f ca="1">AND(IF(DB_TBL_DATA_FIELDS[[#This Row],[FIELD_VALID_CUSTOM_LOGIC]]="",TRUE,DB_TBL_DATA_FIELDS[[#This Row],[FIELD_VALID_CUSTOM_LOGIC]]),DB_TBL_DATA_FIELDS[[#This Row],[RANGE_VALIDATION_PASSED_FLAG]])</f>
        <v>1</v>
      </c>
      <c r="M139"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39" s="8">
        <f ca="1">IF(DB_TBL_DATA_FIELDS[[#This Row],[SHEET_REF_CALC]]="","",IF(DB_TBL_DATA_FIELDS[[#This Row],[FIELD_EMPTY_FLAG]],IF(NOT(DB_TBL_DATA_FIELDS[[#This Row],[FIELD_REQ_FLAG]]),-1,1),IF(NOT(DB_TBL_DATA_FIELDS[[#This Row],[FIELD_VALID_FLAG]]),0,2)))</f>
        <v>-1</v>
      </c>
      <c r="O139" s="8" t="str">
        <f ca="1">IFERROR(VLOOKUP(DB_TBL_DATA_FIELDS[[#This Row],[FIELD_STATUS_CODE]],DB_TBL_CONFIG_FIELDSTATUSCODES[#All],3,FALSE),"")</f>
        <v>Optional</v>
      </c>
      <c r="P139" s="8" t="str">
        <f ca="1">IFERROR(VLOOKUP(DB_TBL_DATA_FIELDS[[#This Row],[FIELD_STATUS_CODE]],DB_TBL_CONFIG_FIELDSTATUSCODES[#All],4,FALSE),"")</f>
        <v xml:space="preserve"> </v>
      </c>
      <c r="Q139" s="8" t="b">
        <f>TRUE</f>
        <v>1</v>
      </c>
      <c r="R139" s="8" t="b">
        <f>TRUE</f>
        <v>1</v>
      </c>
      <c r="S139" s="4" t="s">
        <v>11</v>
      </c>
      <c r="T139" s="8">
        <f ca="1">IF(DB_TBL_DATA_FIELDS[[#This Row],[RANGE_VALIDATION_FLAG]]="Text",LEN(DB_TBL_DATA_FIELDS[[#This Row],[FIELD_VALUE_RAW]]),IFERROR(VALUE(DB_TBL_DATA_FIELDS[[#This Row],[FIELD_VALUE_RAW]]),-1))</f>
        <v>0</v>
      </c>
      <c r="U139" s="8">
        <v>0</v>
      </c>
      <c r="V139" s="101">
        <f>CONFIG_CHAR_LIMIT_MEDIUM</f>
        <v>1500</v>
      </c>
      <c r="W139" s="8" t="b">
        <f ca="1">IF(NOT(DB_TBL_DATA_FIELDS[[#This Row],[RANGE_VALIDATION_ON_FLAG]]),TRUE,
AND(DB_TBL_DATA_FIELDS[[#This Row],[RANGE_VALUE_LEN]]&gt;=DB_TBL_DATA_FIELDS[[#This Row],[RANGE_VALIDATION_MIN]],DB_TBL_DATA_FIELDS[[#This Row],[RANGE_VALUE_LEN]]&lt;=DB_TBL_DATA_FIELDS[[#This Row],[RANGE_VALIDATION_MAX]]))</f>
        <v>1</v>
      </c>
      <c r="X139" s="8">
        <v>1</v>
      </c>
      <c r="Y139" s="8">
        <f ca="1">IF(DB_TBL_DATA_FIELDS[[#This Row],[PCT_CALC_SHOW_STATUS_CODE]]=1,
DB_TBL_DATA_FIELDS[[#This Row],[FIELD_STATUS_CODE]],
IF(AND(DB_TBL_DATA_FIELDS[[#This Row],[PCT_CALC_SHOW_STATUS_CODE]]=2,DB_TBL_DATA_FIELDS[[#This Row],[FIELD_STATUS_CODE]]=0),
DB_TBL_DATA_FIELDS[[#This Row],[FIELD_STATUS_CODE]],
"")
)</f>
        <v>-1</v>
      </c>
      <c r="Z139" s="8"/>
      <c r="AA139" s="11" t="s">
        <v>2713</v>
      </c>
      <c r="AB139" s="11" t="s">
        <v>2868</v>
      </c>
      <c r="AC139" s="8"/>
    </row>
    <row r="140" spans="1:29" ht="13.5" thickBot="1" x14ac:dyDescent="0.25">
      <c r="A140" s="67" t="s">
        <v>65</v>
      </c>
      <c r="B140" s="67" t="s">
        <v>64</v>
      </c>
      <c r="C140" s="69" t="str">
        <f ca="1">IF($H$10&lt;&gt;"R",IF(DB_TBL_DATA_FIELDS[[#This Row],[SHEET_REF_OWNER]]&lt;&gt;"",DB_TBL_DATA_FIELDS[[#This Row],[SHEET_REF_OWNER]],""),IF(DB_TBL_DATA_FIELDS[[#This Row],[SHEET_REF_RENTAL]]&lt;&gt;"",DB_TBL_DATA_FIELDS[[#This Row],[SHEET_REF_RENTAL]],""))</f>
        <v>RentalApp</v>
      </c>
      <c r="D140" s="67" t="s">
        <v>2757</v>
      </c>
      <c r="E140" s="67" t="b">
        <v>0</v>
      </c>
      <c r="F140" s="71" t="b">
        <v>1</v>
      </c>
      <c r="G140" s="72" t="s">
        <v>2736</v>
      </c>
      <c r="H140" s="73" t="str">
        <f ca="1">IFERROR(VLOOKUP(DB_TBL_DATA_FIELDS[[#This Row],[FIELD_ID]],INDIRECT(DB_TBL_DATA_FIELDS[[#This Row],[SHEET_REF_CALC]]&amp;"!A:B"),2,FALSE),"")</f>
        <v/>
      </c>
      <c r="I140" s="73"/>
      <c r="J140" s="72" t="b">
        <f ca="1">(DB_TBL_DATA_FIELDS[[#This Row],[FIELD_VALUE_RAW]]="")</f>
        <v>1</v>
      </c>
      <c r="K140" s="72" t="s">
        <v>11</v>
      </c>
      <c r="L140" s="68" t="b">
        <f ca="1">AND(IF(DB_TBL_DATA_FIELDS[[#This Row],[FIELD_VALID_CUSTOM_LOGIC]]="",TRUE,DB_TBL_DATA_FIELDS[[#This Row],[FIELD_VALID_CUSTOM_LOGIC]]),DB_TBL_DATA_FIELDS[[#This Row],[RANGE_VALIDATION_PASSED_FLAG]])</f>
        <v>1</v>
      </c>
      <c r="M140" s="7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40" s="68">
        <f ca="1">IF(DB_TBL_DATA_FIELDS[[#This Row],[SHEET_REF_CALC]]="","",IF(DB_TBL_DATA_FIELDS[[#This Row],[FIELD_EMPTY_FLAG]],IF(NOT(DB_TBL_DATA_FIELDS[[#This Row],[FIELD_REQ_FLAG]]),-1,1),IF(NOT(DB_TBL_DATA_FIELDS[[#This Row],[FIELD_VALID_FLAG]]),0,2)))</f>
        <v>1</v>
      </c>
      <c r="O140" s="68" t="str">
        <f ca="1">IFERROR(VLOOKUP(DB_TBL_DATA_FIELDS[[#This Row],[FIELD_STATUS_CODE]],DB_TBL_CONFIG_FIELDSTATUSCODES[#All],3,FALSE),"")</f>
        <v>Required</v>
      </c>
      <c r="P140" s="68" t="str">
        <f ca="1">IFERROR(VLOOKUP(DB_TBL_DATA_FIELDS[[#This Row],[FIELD_STATUS_CODE]],DB_TBL_CONFIG_FIELDSTATUSCODES[#All],4,FALSE),"")</f>
        <v>i</v>
      </c>
      <c r="Q140" s="68" t="b">
        <f>TRUE</f>
        <v>1</v>
      </c>
      <c r="R140" s="68" t="b">
        <f>TRUE</f>
        <v>1</v>
      </c>
      <c r="S140" s="67" t="s">
        <v>11</v>
      </c>
      <c r="T140" s="68">
        <f ca="1">IF(DB_TBL_DATA_FIELDS[[#This Row],[RANGE_VALIDATION_FLAG]]="Text",LEN(DB_TBL_DATA_FIELDS[[#This Row],[FIELD_VALUE_RAW]]),IFERROR(VALUE(DB_TBL_DATA_FIELDS[[#This Row],[FIELD_VALUE_RAW]]),-1))</f>
        <v>0</v>
      </c>
      <c r="U140" s="68">
        <v>0</v>
      </c>
      <c r="V140" s="101">
        <f>CONFIG_CHAR_LIMIT_MEDIUM</f>
        <v>1500</v>
      </c>
      <c r="W140" s="68" t="b">
        <f ca="1">IF(NOT(DB_TBL_DATA_FIELDS[[#This Row],[RANGE_VALIDATION_ON_FLAG]]),TRUE,
AND(DB_TBL_DATA_FIELDS[[#This Row],[RANGE_VALUE_LEN]]&gt;=DB_TBL_DATA_FIELDS[[#This Row],[RANGE_VALIDATION_MIN]],DB_TBL_DATA_FIELDS[[#This Row],[RANGE_VALUE_LEN]]&lt;=DB_TBL_DATA_FIELDS[[#This Row],[RANGE_VALIDATION_MAX]]))</f>
        <v>1</v>
      </c>
      <c r="X140" s="68">
        <v>1</v>
      </c>
      <c r="Y140" s="68">
        <f ca="1">IF(DB_TBL_DATA_FIELDS[[#This Row],[PCT_CALC_SHOW_STATUS_CODE]]=1,
DB_TBL_DATA_FIELDS[[#This Row],[FIELD_STATUS_CODE]],
IF(AND(DB_TBL_DATA_FIELDS[[#This Row],[PCT_CALC_SHOW_STATUS_CODE]]=2,DB_TBL_DATA_FIELDS[[#This Row],[FIELD_STATUS_CODE]]=0),
DB_TBL_DATA_FIELDS[[#This Row],[FIELD_STATUS_CODE]],
"")
)</f>
        <v>1</v>
      </c>
      <c r="Z140" s="68"/>
      <c r="AA140" s="73" t="s">
        <v>2714</v>
      </c>
      <c r="AB140" s="73" t="s">
        <v>2868</v>
      </c>
      <c r="AC140" s="68"/>
    </row>
    <row r="141" spans="1:29" x14ac:dyDescent="0.2">
      <c r="A141" s="4" t="s">
        <v>65</v>
      </c>
      <c r="B141" s="4" t="s">
        <v>64</v>
      </c>
      <c r="C141" s="16" t="str">
        <f ca="1">IF($H$10&lt;&gt;"R",IF(DB_TBL_DATA_FIELDS[[#This Row],[SHEET_REF_OWNER]]&lt;&gt;"",DB_TBL_DATA_FIELDS[[#This Row],[SHEET_REF_OWNER]],""),IF(DB_TBL_DATA_FIELDS[[#This Row],[SHEET_REF_RENTAL]]&lt;&gt;"",DB_TBL_DATA_FIELDS[[#This Row],[SHEET_REF_RENTAL]],""))</f>
        <v>RentalApp</v>
      </c>
      <c r="D141" s="4" t="s">
        <v>3386</v>
      </c>
      <c r="E141" s="4" t="b">
        <v>1</v>
      </c>
      <c r="F141" s="25" t="b">
        <v>0</v>
      </c>
      <c r="G141" s="6" t="s">
        <v>2737</v>
      </c>
      <c r="H141" s="11" t="str">
        <f ca="1">IFERROR(VLOOKUP(DB_TBL_DATA_FIELDS[[#This Row],[FIELD_ID]],INDIRECT(DB_TBL_DATA_FIELDS[[#This Row],[SHEET_REF_CALC]]&amp;"!A:B"),2,FALSE),"")</f>
        <v/>
      </c>
      <c r="I141" s="11"/>
      <c r="J141" s="6" t="b">
        <f ca="1">(DB_TBL_DATA_FIELDS[[#This Row],[FIELD_VALUE_RAW]]="")</f>
        <v>1</v>
      </c>
      <c r="K141" s="6" t="s">
        <v>11</v>
      </c>
      <c r="L141" s="8" t="b">
        <f ca="1">AND(IF(DB_TBL_DATA_FIELDS[[#This Row],[FIELD_VALID_CUSTOM_LOGIC]]="",TRUE,DB_TBL_DATA_FIELDS[[#This Row],[FIELD_VALID_CUSTOM_LOGIC]]),DB_TBL_DATA_FIELDS[[#This Row],[RANGE_VALIDATION_PASSED_FLAG]])</f>
        <v>1</v>
      </c>
      <c r="M141"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41" s="8">
        <f ca="1">IF(DB_TBL_DATA_FIELDS[[#This Row],[SHEET_REF_CALC]]="","",IF(DB_TBL_DATA_FIELDS[[#This Row],[FIELD_EMPTY_FLAG]],IF(NOT(DB_TBL_DATA_FIELDS[[#This Row],[FIELD_REQ_FLAG]]),-1,1),IF(NOT(DB_TBL_DATA_FIELDS[[#This Row],[FIELD_VALID_FLAG]]),0,2)))</f>
        <v>-1</v>
      </c>
      <c r="O141" s="8" t="str">
        <f ca="1">IFERROR(VLOOKUP(DB_TBL_DATA_FIELDS[[#This Row],[FIELD_STATUS_CODE]],DB_TBL_CONFIG_FIELDSTATUSCODES[#All],3,FALSE),"")</f>
        <v>Optional</v>
      </c>
      <c r="P141" s="8" t="str">
        <f ca="1">IFERROR(VLOOKUP(DB_TBL_DATA_FIELDS[[#This Row],[FIELD_STATUS_CODE]],DB_TBL_CONFIG_FIELDSTATUSCODES[#All],4,FALSE),"")</f>
        <v xml:space="preserve"> </v>
      </c>
      <c r="Q141" s="8" t="b">
        <f>TRUE</f>
        <v>1</v>
      </c>
      <c r="R141" s="8" t="b">
        <f>TRUE</f>
        <v>1</v>
      </c>
      <c r="S141" s="4" t="s">
        <v>11</v>
      </c>
      <c r="T141" s="8">
        <f ca="1">IF(DB_TBL_DATA_FIELDS[[#This Row],[RANGE_VALIDATION_FLAG]]="Text",LEN(DB_TBL_DATA_FIELDS[[#This Row],[FIELD_VALUE_RAW]]),IFERROR(VALUE(DB_TBL_DATA_FIELDS[[#This Row],[FIELD_VALUE_RAW]]),-1))</f>
        <v>0</v>
      </c>
      <c r="U141" s="8">
        <v>0</v>
      </c>
      <c r="V141" s="34">
        <v>32767</v>
      </c>
      <c r="W141" s="8" t="b">
        <f ca="1">IF(NOT(DB_TBL_DATA_FIELDS[[#This Row],[RANGE_VALIDATION_ON_FLAG]]),TRUE,
AND(DB_TBL_DATA_FIELDS[[#This Row],[RANGE_VALUE_LEN]]&gt;=DB_TBL_DATA_FIELDS[[#This Row],[RANGE_VALIDATION_MIN]],DB_TBL_DATA_FIELDS[[#This Row],[RANGE_VALUE_LEN]]&lt;=DB_TBL_DATA_FIELDS[[#This Row],[RANGE_VALIDATION_MAX]]))</f>
        <v>1</v>
      </c>
      <c r="X141" s="8">
        <v>1</v>
      </c>
      <c r="Y141" s="8">
        <f ca="1">IF(DB_TBL_DATA_FIELDS[[#This Row],[PCT_CALC_SHOW_STATUS_CODE]]=1,
DB_TBL_DATA_FIELDS[[#This Row],[FIELD_STATUS_CODE]],
IF(AND(DB_TBL_DATA_FIELDS[[#This Row],[PCT_CALC_SHOW_STATUS_CODE]]=2,DB_TBL_DATA_FIELDS[[#This Row],[FIELD_STATUS_CODE]]=0),
DB_TBL_DATA_FIELDS[[#This Row],[FIELD_STATUS_CODE]],
"")
)</f>
        <v>-1</v>
      </c>
      <c r="Z141" s="8"/>
      <c r="AA141" s="11" t="s">
        <v>2715</v>
      </c>
      <c r="AB141" s="11" t="s">
        <v>2869</v>
      </c>
      <c r="AC141" s="8"/>
    </row>
    <row r="142" spans="1:29" x14ac:dyDescent="0.2">
      <c r="A142" s="4" t="s">
        <v>65</v>
      </c>
      <c r="B142" s="4" t="s">
        <v>64</v>
      </c>
      <c r="C142" s="16" t="str">
        <f ca="1">IF($H$10&lt;&gt;"R",IF(DB_TBL_DATA_FIELDS[[#This Row],[SHEET_REF_OWNER]]&lt;&gt;"",DB_TBL_DATA_FIELDS[[#This Row],[SHEET_REF_OWNER]],""),IF(DB_TBL_DATA_FIELDS[[#This Row],[SHEET_REF_RENTAL]]&lt;&gt;"",DB_TBL_DATA_FIELDS[[#This Row],[SHEET_REF_RENTAL]],""))</f>
        <v>RentalApp</v>
      </c>
      <c r="D142" s="4" t="s">
        <v>3388</v>
      </c>
      <c r="E142" s="4" t="b">
        <v>0</v>
      </c>
      <c r="F142" s="41" t="b">
        <f ca="1">($H$141&lt;&gt;"")</f>
        <v>0</v>
      </c>
      <c r="G142" s="6" t="s">
        <v>2738</v>
      </c>
      <c r="H142" s="11" t="str">
        <f ca="1">IFERROR(VLOOKUP(DB_TBL_DATA_FIELDS[[#This Row],[FIELD_ID]],INDIRECT(DB_TBL_DATA_FIELDS[[#This Row],[SHEET_REF_CALC]]&amp;"!A:B"),2,FALSE),"")</f>
        <v/>
      </c>
      <c r="I142" s="29" t="str">
        <f ca="1">IF(DB_TBL_DATA_FIELDS[[#This Row],[FIELD_VALUE_RAW]]="","",DB_TBL_DATA_FIELDS[[#This Row],[FIELD_REQ_FLAG]])</f>
        <v/>
      </c>
      <c r="J142" s="6" t="b">
        <f ca="1">(DB_TBL_DATA_FIELDS[[#This Row],[FIELD_VALUE_RAW]]="")</f>
        <v>1</v>
      </c>
      <c r="K142" s="6" t="s">
        <v>11</v>
      </c>
      <c r="L142" s="8" t="b">
        <f ca="1">AND(IF(DB_TBL_DATA_FIELDS[[#This Row],[FIELD_VALID_CUSTOM_LOGIC]]="",TRUE,DB_TBL_DATA_FIELDS[[#This Row],[FIELD_VALID_CUSTOM_LOGIC]]),DB_TBL_DATA_FIELDS[[#This Row],[RANGE_VALIDATION_PASSED_FLAG]])</f>
        <v>1</v>
      </c>
      <c r="M142"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42" s="8">
        <f ca="1">IF(DB_TBL_DATA_FIELDS[[#This Row],[SHEET_REF_CALC]]="","",IF(DB_TBL_DATA_FIELDS[[#This Row],[FIELD_EMPTY_FLAG]],IF(NOT(DB_TBL_DATA_FIELDS[[#This Row],[FIELD_REQ_FLAG]]),-1,1),IF(NOT(DB_TBL_DATA_FIELDS[[#This Row],[FIELD_VALID_FLAG]]),0,2)))</f>
        <v>-1</v>
      </c>
      <c r="O142" s="8" t="str">
        <f ca="1">IFERROR(VLOOKUP(DB_TBL_DATA_FIELDS[[#This Row],[FIELD_STATUS_CODE]],DB_TBL_CONFIG_FIELDSTATUSCODES[#All],3,FALSE),"")</f>
        <v>Optional</v>
      </c>
      <c r="P142" s="8" t="str">
        <f ca="1">IFERROR(VLOOKUP(DB_TBL_DATA_FIELDS[[#This Row],[FIELD_STATUS_CODE]],DB_TBL_CONFIG_FIELDSTATUSCODES[#All],4,FALSE),"")</f>
        <v xml:space="preserve"> </v>
      </c>
      <c r="Q142" s="8" t="b">
        <f>TRUE</f>
        <v>1</v>
      </c>
      <c r="R142" s="8" t="b">
        <f>TRUE</f>
        <v>1</v>
      </c>
      <c r="S142" s="4" t="s">
        <v>11</v>
      </c>
      <c r="T142" s="8">
        <f ca="1">IF(DB_TBL_DATA_FIELDS[[#This Row],[RANGE_VALIDATION_FLAG]]="Text",LEN(DB_TBL_DATA_FIELDS[[#This Row],[FIELD_VALUE_RAW]]),IFERROR(VALUE(DB_TBL_DATA_FIELDS[[#This Row],[FIELD_VALUE_RAW]]),-1))</f>
        <v>0</v>
      </c>
      <c r="U142" s="8">
        <v>0</v>
      </c>
      <c r="V142" s="34">
        <v>32767</v>
      </c>
      <c r="W142" s="8" t="b">
        <f ca="1">IF(NOT(DB_TBL_DATA_FIELDS[[#This Row],[RANGE_VALIDATION_ON_FLAG]]),TRUE,
AND(DB_TBL_DATA_FIELDS[[#This Row],[RANGE_VALUE_LEN]]&gt;=DB_TBL_DATA_FIELDS[[#This Row],[RANGE_VALIDATION_MIN]],DB_TBL_DATA_FIELDS[[#This Row],[RANGE_VALUE_LEN]]&lt;=DB_TBL_DATA_FIELDS[[#This Row],[RANGE_VALIDATION_MAX]]))</f>
        <v>1</v>
      </c>
      <c r="X142" s="8">
        <v>1</v>
      </c>
      <c r="Y142" s="8">
        <f ca="1">IF(DB_TBL_DATA_FIELDS[[#This Row],[PCT_CALC_SHOW_STATUS_CODE]]=1,
DB_TBL_DATA_FIELDS[[#This Row],[FIELD_STATUS_CODE]],
IF(AND(DB_TBL_DATA_FIELDS[[#This Row],[PCT_CALC_SHOW_STATUS_CODE]]=2,DB_TBL_DATA_FIELDS[[#This Row],[FIELD_STATUS_CODE]]=0),
DB_TBL_DATA_FIELDS[[#This Row],[FIELD_STATUS_CODE]],
"")
)</f>
        <v>-1</v>
      </c>
      <c r="Z142" s="8"/>
      <c r="AA142" s="11" t="s">
        <v>2716</v>
      </c>
      <c r="AB142" s="11" t="s">
        <v>2869</v>
      </c>
      <c r="AC142" s="8"/>
    </row>
    <row r="143" spans="1:29" x14ac:dyDescent="0.2">
      <c r="A143" s="4"/>
      <c r="B143" s="4" t="s">
        <v>64</v>
      </c>
      <c r="C143" s="16" t="str">
        <f ca="1">IF($H$10&lt;&gt;"R",IF(DB_TBL_DATA_FIELDS[[#This Row],[SHEET_REF_OWNER]]&lt;&gt;"",DB_TBL_DATA_FIELDS[[#This Row],[SHEET_REF_OWNER]],""),IF(DB_TBL_DATA_FIELDS[[#This Row],[SHEET_REF_RENTAL]]&lt;&gt;"",DB_TBL_DATA_FIELDS[[#This Row],[SHEET_REF_RENTAL]],""))</f>
        <v>RentalApp</v>
      </c>
      <c r="D143" s="89" t="s">
        <v>2758</v>
      </c>
      <c r="E143" s="4" t="b">
        <v>0</v>
      </c>
      <c r="F143" s="41" t="b">
        <f t="shared" ref="F143:F144" ca="1" si="0">($H$141&lt;&gt;"")</f>
        <v>0</v>
      </c>
      <c r="G143" s="6" t="s">
        <v>2739</v>
      </c>
      <c r="H143" s="11" t="str">
        <f ca="1">IFERROR(VLOOKUP(DB_TBL_DATA_FIELDS[[#This Row],[FIELD_ID]],INDIRECT(DB_TBL_DATA_FIELDS[[#This Row],[SHEET_REF_CALC]]&amp;"!A:B"),2,FALSE),"")</f>
        <v/>
      </c>
      <c r="I143" s="29" t="str">
        <f ca="1">IF(DB_TBL_DATA_FIELDS[[#This Row],[FIELD_VALUE_RAW]]="","",DB_TBL_DATA_FIELDS[[#This Row],[FIELD_REQ_FLAG]])</f>
        <v/>
      </c>
      <c r="J143" s="6" t="b">
        <f ca="1">(DB_TBL_DATA_FIELDS[[#This Row],[FIELD_VALUE_RAW]]="")</f>
        <v>1</v>
      </c>
      <c r="K143" s="6" t="s">
        <v>11</v>
      </c>
      <c r="L143" s="8" t="b">
        <f ca="1">AND(IF(DB_TBL_DATA_FIELDS[[#This Row],[FIELD_VALID_CUSTOM_LOGIC]]="",TRUE,DB_TBL_DATA_FIELDS[[#This Row],[FIELD_VALID_CUSTOM_LOGIC]]),DB_TBL_DATA_FIELDS[[#This Row],[RANGE_VALIDATION_PASSED_FLAG]])</f>
        <v>1</v>
      </c>
      <c r="M143"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43" s="8">
        <f ca="1">IF(DB_TBL_DATA_FIELDS[[#This Row],[SHEET_REF_CALC]]="","",IF(DB_TBL_DATA_FIELDS[[#This Row],[FIELD_EMPTY_FLAG]],IF(NOT(DB_TBL_DATA_FIELDS[[#This Row],[FIELD_REQ_FLAG]]),-1,1),IF(NOT(DB_TBL_DATA_FIELDS[[#This Row],[FIELD_VALID_FLAG]]),0,2)))</f>
        <v>-1</v>
      </c>
      <c r="O143" s="8" t="str">
        <f ca="1">IFERROR(VLOOKUP(DB_TBL_DATA_FIELDS[[#This Row],[FIELD_STATUS_CODE]],DB_TBL_CONFIG_FIELDSTATUSCODES[#All],3,FALSE),"")</f>
        <v>Optional</v>
      </c>
      <c r="P143" s="8" t="str">
        <f ca="1">IFERROR(VLOOKUP(DB_TBL_DATA_FIELDS[[#This Row],[FIELD_STATUS_CODE]],DB_TBL_CONFIG_FIELDSTATUSCODES[#All],4,FALSE),"")</f>
        <v xml:space="preserve"> </v>
      </c>
      <c r="Q143" s="8" t="b">
        <f>TRUE</f>
        <v>1</v>
      </c>
      <c r="R143" s="8" t="b">
        <f>TRUE</f>
        <v>1</v>
      </c>
      <c r="S143" s="4" t="s">
        <v>11</v>
      </c>
      <c r="T143" s="8">
        <f ca="1">IF(DB_TBL_DATA_FIELDS[[#This Row],[RANGE_VALIDATION_FLAG]]="Text",LEN(DB_TBL_DATA_FIELDS[[#This Row],[FIELD_VALUE_RAW]]),IFERROR(VALUE(DB_TBL_DATA_FIELDS[[#This Row],[FIELD_VALUE_RAW]]),-1))</f>
        <v>0</v>
      </c>
      <c r="U143" s="8">
        <v>0</v>
      </c>
      <c r="V143" s="101">
        <f>CONFIG_CHAR_LIMIT_MEDIUM</f>
        <v>1500</v>
      </c>
      <c r="W143" s="8" t="b">
        <f ca="1">IF(NOT(DB_TBL_DATA_FIELDS[[#This Row],[RANGE_VALIDATION_ON_FLAG]]),TRUE,
AND(DB_TBL_DATA_FIELDS[[#This Row],[RANGE_VALUE_LEN]]&gt;=DB_TBL_DATA_FIELDS[[#This Row],[RANGE_VALIDATION_MIN]],DB_TBL_DATA_FIELDS[[#This Row],[RANGE_VALUE_LEN]]&lt;=DB_TBL_DATA_FIELDS[[#This Row],[RANGE_VALIDATION_MAX]]))</f>
        <v>1</v>
      </c>
      <c r="X143" s="8">
        <v>1</v>
      </c>
      <c r="Y143" s="8">
        <f ca="1">IF(DB_TBL_DATA_FIELDS[[#This Row],[PCT_CALC_SHOW_STATUS_CODE]]=1,
DB_TBL_DATA_FIELDS[[#This Row],[FIELD_STATUS_CODE]],
IF(AND(DB_TBL_DATA_FIELDS[[#This Row],[PCT_CALC_SHOW_STATUS_CODE]]=2,DB_TBL_DATA_FIELDS[[#This Row],[FIELD_STATUS_CODE]]=0),
DB_TBL_DATA_FIELDS[[#This Row],[FIELD_STATUS_CODE]],
"")
)</f>
        <v>-1</v>
      </c>
      <c r="Z143" s="8"/>
      <c r="AA143" s="11" t="s">
        <v>2717</v>
      </c>
      <c r="AB143" s="11" t="s">
        <v>2869</v>
      </c>
      <c r="AC143" s="8"/>
    </row>
    <row r="144" spans="1:29" x14ac:dyDescent="0.2">
      <c r="A144" s="4" t="s">
        <v>65</v>
      </c>
      <c r="B144" s="4" t="s">
        <v>64</v>
      </c>
      <c r="C144" s="16" t="str">
        <f ca="1">IF($H$10&lt;&gt;"R",IF(DB_TBL_DATA_FIELDS[[#This Row],[SHEET_REF_OWNER]]&lt;&gt;"",DB_TBL_DATA_FIELDS[[#This Row],[SHEET_REF_OWNER]],""),IF(DB_TBL_DATA_FIELDS[[#This Row],[SHEET_REF_RENTAL]]&lt;&gt;"",DB_TBL_DATA_FIELDS[[#This Row],[SHEET_REF_RENTAL]],""))</f>
        <v>RentalApp</v>
      </c>
      <c r="D144" s="4" t="s">
        <v>2759</v>
      </c>
      <c r="E144" s="4" t="b">
        <v>0</v>
      </c>
      <c r="F144" s="41" t="b">
        <f t="shared" ca="1" si="0"/>
        <v>0</v>
      </c>
      <c r="G144" s="6" t="s">
        <v>2740</v>
      </c>
      <c r="H144" s="11" t="str">
        <f ca="1">IFERROR(VLOOKUP(DB_TBL_DATA_FIELDS[[#This Row],[FIELD_ID]],INDIRECT(DB_TBL_DATA_FIELDS[[#This Row],[SHEET_REF_CALC]]&amp;"!A:B"),2,FALSE),"")</f>
        <v/>
      </c>
      <c r="I144" s="29" t="str">
        <f ca="1">IF(DB_TBL_DATA_FIELDS[[#This Row],[FIELD_VALUE_RAW]]="","",DB_TBL_DATA_FIELDS[[#This Row],[FIELD_REQ_FLAG]])</f>
        <v/>
      </c>
      <c r="J144" s="6" t="b">
        <f ca="1">(DB_TBL_DATA_FIELDS[[#This Row],[FIELD_VALUE_RAW]]="")</f>
        <v>1</v>
      </c>
      <c r="K144" s="6" t="s">
        <v>11</v>
      </c>
      <c r="L144" s="8" t="b">
        <f ca="1">AND(IF(DB_TBL_DATA_FIELDS[[#This Row],[FIELD_VALID_CUSTOM_LOGIC]]="",TRUE,DB_TBL_DATA_FIELDS[[#This Row],[FIELD_VALID_CUSTOM_LOGIC]]),DB_TBL_DATA_FIELDS[[#This Row],[RANGE_VALIDATION_PASSED_FLAG]])</f>
        <v>1</v>
      </c>
      <c r="M144"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44" s="8">
        <f ca="1">IF(DB_TBL_DATA_FIELDS[[#This Row],[SHEET_REF_CALC]]="","",IF(DB_TBL_DATA_FIELDS[[#This Row],[FIELD_EMPTY_FLAG]],IF(NOT(DB_TBL_DATA_FIELDS[[#This Row],[FIELD_REQ_FLAG]]),-1,1),IF(NOT(DB_TBL_DATA_FIELDS[[#This Row],[FIELD_VALID_FLAG]]),0,2)))</f>
        <v>-1</v>
      </c>
      <c r="O144" s="8" t="str">
        <f ca="1">IFERROR(VLOOKUP(DB_TBL_DATA_FIELDS[[#This Row],[FIELD_STATUS_CODE]],DB_TBL_CONFIG_FIELDSTATUSCODES[#All],3,FALSE),"")</f>
        <v>Optional</v>
      </c>
      <c r="P144" s="8" t="str">
        <f ca="1">IFERROR(VLOOKUP(DB_TBL_DATA_FIELDS[[#This Row],[FIELD_STATUS_CODE]],DB_TBL_CONFIG_FIELDSTATUSCODES[#All],4,FALSE),"")</f>
        <v xml:space="preserve"> </v>
      </c>
      <c r="Q144" s="8" t="b">
        <f>TRUE</f>
        <v>1</v>
      </c>
      <c r="R144" s="8" t="b">
        <f>TRUE</f>
        <v>1</v>
      </c>
      <c r="S144" s="4" t="s">
        <v>11</v>
      </c>
      <c r="T144" s="8">
        <f ca="1">IF(DB_TBL_DATA_FIELDS[[#This Row],[RANGE_VALIDATION_FLAG]]="Text",LEN(DB_TBL_DATA_FIELDS[[#This Row],[FIELD_VALUE_RAW]]),IFERROR(VALUE(DB_TBL_DATA_FIELDS[[#This Row],[FIELD_VALUE_RAW]]),-1))</f>
        <v>0</v>
      </c>
      <c r="U144" s="8">
        <v>0</v>
      </c>
      <c r="V144" s="101">
        <f>CONFIG_CHAR_LIMIT_LARGE</f>
        <v>2000</v>
      </c>
      <c r="W144" s="8" t="b">
        <f ca="1">IF(NOT(DB_TBL_DATA_FIELDS[[#This Row],[RANGE_VALIDATION_ON_FLAG]]),TRUE,
AND(DB_TBL_DATA_FIELDS[[#This Row],[RANGE_VALUE_LEN]]&gt;=DB_TBL_DATA_FIELDS[[#This Row],[RANGE_VALIDATION_MIN]],DB_TBL_DATA_FIELDS[[#This Row],[RANGE_VALUE_LEN]]&lt;=DB_TBL_DATA_FIELDS[[#This Row],[RANGE_VALIDATION_MAX]]))</f>
        <v>1</v>
      </c>
      <c r="X144" s="8">
        <v>1</v>
      </c>
      <c r="Y144" s="8">
        <f ca="1">IF(DB_TBL_DATA_FIELDS[[#This Row],[PCT_CALC_SHOW_STATUS_CODE]]=1,
DB_TBL_DATA_FIELDS[[#This Row],[FIELD_STATUS_CODE]],
IF(AND(DB_TBL_DATA_FIELDS[[#This Row],[PCT_CALC_SHOW_STATUS_CODE]]=2,DB_TBL_DATA_FIELDS[[#This Row],[FIELD_STATUS_CODE]]=0),
DB_TBL_DATA_FIELDS[[#This Row],[FIELD_STATUS_CODE]],
"")
)</f>
        <v>-1</v>
      </c>
      <c r="Z144" s="8"/>
      <c r="AA144" s="11" t="s">
        <v>2718</v>
      </c>
      <c r="AB144" s="11" t="s">
        <v>2869</v>
      </c>
      <c r="AC144" s="8"/>
    </row>
    <row r="145" spans="1:29" x14ac:dyDescent="0.2">
      <c r="A145" s="4" t="s">
        <v>65</v>
      </c>
      <c r="B145" s="4" t="s">
        <v>64</v>
      </c>
      <c r="C145" s="16" t="str">
        <f ca="1">IF($H$10&lt;&gt;"R",IF(DB_TBL_DATA_FIELDS[[#This Row],[SHEET_REF_OWNER]]&lt;&gt;"",DB_TBL_DATA_FIELDS[[#This Row],[SHEET_REF_OWNER]],""),IF(DB_TBL_DATA_FIELDS[[#This Row],[SHEET_REF_RENTAL]]&lt;&gt;"",DB_TBL_DATA_FIELDS[[#This Row],[SHEET_REF_RENTAL]],""))</f>
        <v>RentalApp</v>
      </c>
      <c r="D145" s="4" t="s">
        <v>2760</v>
      </c>
      <c r="E145" s="4" t="b">
        <v>0</v>
      </c>
      <c r="F145" s="25" t="b">
        <v>0</v>
      </c>
      <c r="G145" s="6" t="s">
        <v>2741</v>
      </c>
      <c r="H145" s="11" t="str">
        <f ca="1">IFERROR(VLOOKUP(DB_TBL_DATA_FIELDS[[#This Row],[FIELD_ID]],INDIRECT(DB_TBL_DATA_FIELDS[[#This Row],[SHEET_REF_CALC]]&amp;"!A:B"),2,FALSE),"")</f>
        <v/>
      </c>
      <c r="I145" s="29" t="str">
        <f ca="1">IF(DB_TBL_DATA_FIELDS[[#This Row],[FIELD_VALUE_RAW]]="","",$H$141&lt;&gt;"")</f>
        <v/>
      </c>
      <c r="J145" s="6" t="b">
        <f ca="1">(DB_TBL_DATA_FIELDS[[#This Row],[FIELD_VALUE_RAW]]="")</f>
        <v>1</v>
      </c>
      <c r="K145" s="6" t="s">
        <v>11</v>
      </c>
      <c r="L145" s="8" t="b">
        <f ca="1">AND(IF(DB_TBL_DATA_FIELDS[[#This Row],[FIELD_VALID_CUSTOM_LOGIC]]="",TRUE,DB_TBL_DATA_FIELDS[[#This Row],[FIELD_VALID_CUSTOM_LOGIC]]),DB_TBL_DATA_FIELDS[[#This Row],[RANGE_VALIDATION_PASSED_FLAG]])</f>
        <v>1</v>
      </c>
      <c r="M145"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45" s="8">
        <f ca="1">IF(DB_TBL_DATA_FIELDS[[#This Row],[SHEET_REF_CALC]]="","",IF(DB_TBL_DATA_FIELDS[[#This Row],[FIELD_EMPTY_FLAG]],IF(NOT(DB_TBL_DATA_FIELDS[[#This Row],[FIELD_REQ_FLAG]]),-1,1),IF(NOT(DB_TBL_DATA_FIELDS[[#This Row],[FIELD_VALID_FLAG]]),0,2)))</f>
        <v>-1</v>
      </c>
      <c r="O145" s="8" t="str">
        <f ca="1">IFERROR(VLOOKUP(DB_TBL_DATA_FIELDS[[#This Row],[FIELD_STATUS_CODE]],DB_TBL_CONFIG_FIELDSTATUSCODES[#All],3,FALSE),"")</f>
        <v>Optional</v>
      </c>
      <c r="P145" s="8" t="str">
        <f ca="1">IFERROR(VLOOKUP(DB_TBL_DATA_FIELDS[[#This Row],[FIELD_STATUS_CODE]],DB_TBL_CONFIG_FIELDSTATUSCODES[#All],4,FALSE),"")</f>
        <v xml:space="preserve"> </v>
      </c>
      <c r="Q145" s="8" t="b">
        <f>TRUE</f>
        <v>1</v>
      </c>
      <c r="R145" s="8" t="b">
        <f>TRUE</f>
        <v>1</v>
      </c>
      <c r="S145" s="4" t="s">
        <v>11</v>
      </c>
      <c r="T145" s="8">
        <f ca="1">IF(DB_TBL_DATA_FIELDS[[#This Row],[RANGE_VALIDATION_FLAG]]="Text",LEN(DB_TBL_DATA_FIELDS[[#This Row],[FIELD_VALUE_RAW]]),IFERROR(VALUE(DB_TBL_DATA_FIELDS[[#This Row],[FIELD_VALUE_RAW]]),-1))</f>
        <v>0</v>
      </c>
      <c r="U145" s="8">
        <v>0</v>
      </c>
      <c r="V145" s="101">
        <f>CONFIG_CHAR_LIMIT_LARGE</f>
        <v>2000</v>
      </c>
      <c r="W145" s="8" t="b">
        <f ca="1">IF(NOT(DB_TBL_DATA_FIELDS[[#This Row],[RANGE_VALIDATION_ON_FLAG]]),TRUE,
AND(DB_TBL_DATA_FIELDS[[#This Row],[RANGE_VALUE_LEN]]&gt;=DB_TBL_DATA_FIELDS[[#This Row],[RANGE_VALIDATION_MIN]],DB_TBL_DATA_FIELDS[[#This Row],[RANGE_VALUE_LEN]]&lt;=DB_TBL_DATA_FIELDS[[#This Row],[RANGE_VALIDATION_MAX]]))</f>
        <v>1</v>
      </c>
      <c r="X145" s="8">
        <v>1</v>
      </c>
      <c r="Y145" s="8">
        <f ca="1">IF(DB_TBL_DATA_FIELDS[[#This Row],[PCT_CALC_SHOW_STATUS_CODE]]=1,
DB_TBL_DATA_FIELDS[[#This Row],[FIELD_STATUS_CODE]],
IF(AND(DB_TBL_DATA_FIELDS[[#This Row],[PCT_CALC_SHOW_STATUS_CODE]]=2,DB_TBL_DATA_FIELDS[[#This Row],[FIELD_STATUS_CODE]]=0),
DB_TBL_DATA_FIELDS[[#This Row],[FIELD_STATUS_CODE]],
"")
)</f>
        <v>-1</v>
      </c>
      <c r="Z145" s="8"/>
      <c r="AA145" s="11" t="s">
        <v>2719</v>
      </c>
      <c r="AB145" s="11" t="s">
        <v>2869</v>
      </c>
      <c r="AC145" s="8"/>
    </row>
    <row r="146" spans="1:29" x14ac:dyDescent="0.2">
      <c r="A146" s="4" t="s">
        <v>65</v>
      </c>
      <c r="B146" s="4" t="s">
        <v>64</v>
      </c>
      <c r="C146" s="16" t="str">
        <f ca="1">IF($H$10&lt;&gt;"R",IF(DB_TBL_DATA_FIELDS[[#This Row],[SHEET_REF_OWNER]]&lt;&gt;"",DB_TBL_DATA_FIELDS[[#This Row],[SHEET_REF_OWNER]],""),IF(DB_TBL_DATA_FIELDS[[#This Row],[SHEET_REF_RENTAL]]&lt;&gt;"",DB_TBL_DATA_FIELDS[[#This Row],[SHEET_REF_RENTAL]],""))</f>
        <v>RentalApp</v>
      </c>
      <c r="D146" s="4" t="s">
        <v>2761</v>
      </c>
      <c r="E146" s="4" t="b">
        <v>0</v>
      </c>
      <c r="F146" s="25" t="b">
        <v>0</v>
      </c>
      <c r="G146" s="6" t="s">
        <v>2742</v>
      </c>
      <c r="H146" s="11" t="str">
        <f ca="1">IFERROR(VLOOKUP(DB_TBL_DATA_FIELDS[[#This Row],[FIELD_ID]],INDIRECT(DB_TBL_DATA_FIELDS[[#This Row],[SHEET_REF_CALC]]&amp;"!A:B"),2,FALSE),"")</f>
        <v/>
      </c>
      <c r="I146" s="29" t="str">
        <f ca="1">IF(DB_TBL_DATA_FIELDS[[#This Row],[FIELD_VALUE_RAW]]="","",$H$141&lt;&gt;"")</f>
        <v/>
      </c>
      <c r="J146" s="6" t="b">
        <f ca="1">(DB_TBL_DATA_FIELDS[[#This Row],[FIELD_VALUE_RAW]]="")</f>
        <v>1</v>
      </c>
      <c r="K146" s="6" t="s">
        <v>11</v>
      </c>
      <c r="L146" s="8" t="b">
        <f ca="1">AND(IF(DB_TBL_DATA_FIELDS[[#This Row],[FIELD_VALID_CUSTOM_LOGIC]]="",TRUE,DB_TBL_DATA_FIELDS[[#This Row],[FIELD_VALID_CUSTOM_LOGIC]]),DB_TBL_DATA_FIELDS[[#This Row],[RANGE_VALIDATION_PASSED_FLAG]])</f>
        <v>1</v>
      </c>
      <c r="M146"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46" s="8">
        <f ca="1">IF(DB_TBL_DATA_FIELDS[[#This Row],[SHEET_REF_CALC]]="","",IF(DB_TBL_DATA_FIELDS[[#This Row],[FIELD_EMPTY_FLAG]],IF(NOT(DB_TBL_DATA_FIELDS[[#This Row],[FIELD_REQ_FLAG]]),-1,1),IF(NOT(DB_TBL_DATA_FIELDS[[#This Row],[FIELD_VALID_FLAG]]),0,2)))</f>
        <v>-1</v>
      </c>
      <c r="O146" s="8" t="str">
        <f ca="1">IFERROR(VLOOKUP(DB_TBL_DATA_FIELDS[[#This Row],[FIELD_STATUS_CODE]],DB_TBL_CONFIG_FIELDSTATUSCODES[#All],3,FALSE),"")</f>
        <v>Optional</v>
      </c>
      <c r="P146" s="8" t="str">
        <f ca="1">IFERROR(VLOOKUP(DB_TBL_DATA_FIELDS[[#This Row],[FIELD_STATUS_CODE]],DB_TBL_CONFIG_FIELDSTATUSCODES[#All],4,FALSE),"")</f>
        <v xml:space="preserve"> </v>
      </c>
      <c r="Q146" s="8" t="b">
        <f>TRUE</f>
        <v>1</v>
      </c>
      <c r="R146" s="8" t="b">
        <f>TRUE</f>
        <v>1</v>
      </c>
      <c r="S146" s="4" t="s">
        <v>11</v>
      </c>
      <c r="T146" s="8">
        <f ca="1">IF(DB_TBL_DATA_FIELDS[[#This Row],[RANGE_VALIDATION_FLAG]]="Text",LEN(DB_TBL_DATA_FIELDS[[#This Row],[FIELD_VALUE_RAW]]),IFERROR(VALUE(DB_TBL_DATA_FIELDS[[#This Row],[FIELD_VALUE_RAW]]),-1))</f>
        <v>0</v>
      </c>
      <c r="U146" s="8">
        <v>0</v>
      </c>
      <c r="V146" s="101">
        <f>CONFIG_CHAR_LIMIT_MEDIUM</f>
        <v>1500</v>
      </c>
      <c r="W146" s="8" t="b">
        <f ca="1">IF(NOT(DB_TBL_DATA_FIELDS[[#This Row],[RANGE_VALIDATION_ON_FLAG]]),TRUE,
AND(DB_TBL_DATA_FIELDS[[#This Row],[RANGE_VALUE_LEN]]&gt;=DB_TBL_DATA_FIELDS[[#This Row],[RANGE_VALIDATION_MIN]],DB_TBL_DATA_FIELDS[[#This Row],[RANGE_VALUE_LEN]]&lt;=DB_TBL_DATA_FIELDS[[#This Row],[RANGE_VALIDATION_MAX]]))</f>
        <v>1</v>
      </c>
      <c r="X146" s="8">
        <v>1</v>
      </c>
      <c r="Y146" s="8">
        <f ca="1">IF(DB_TBL_DATA_FIELDS[[#This Row],[PCT_CALC_SHOW_STATUS_CODE]]=1,
DB_TBL_DATA_FIELDS[[#This Row],[FIELD_STATUS_CODE]],
IF(AND(DB_TBL_DATA_FIELDS[[#This Row],[PCT_CALC_SHOW_STATUS_CODE]]=2,DB_TBL_DATA_FIELDS[[#This Row],[FIELD_STATUS_CODE]]=0),
DB_TBL_DATA_FIELDS[[#This Row],[FIELD_STATUS_CODE]],
"")
)</f>
        <v>-1</v>
      </c>
      <c r="Z146" s="8"/>
      <c r="AA146" s="11" t="s">
        <v>2720</v>
      </c>
      <c r="AB146" s="11" t="s">
        <v>2869</v>
      </c>
      <c r="AC146" s="8"/>
    </row>
    <row r="147" spans="1:29" x14ac:dyDescent="0.2">
      <c r="A147" s="4" t="s">
        <v>65</v>
      </c>
      <c r="B147" s="4" t="s">
        <v>64</v>
      </c>
      <c r="C147" s="16" t="str">
        <f ca="1">IF($H$10&lt;&gt;"R",IF(DB_TBL_DATA_FIELDS[[#This Row],[SHEET_REF_OWNER]]&lt;&gt;"",DB_TBL_DATA_FIELDS[[#This Row],[SHEET_REF_OWNER]],""),IF(DB_TBL_DATA_FIELDS[[#This Row],[SHEET_REF_RENTAL]]&lt;&gt;"",DB_TBL_DATA_FIELDS[[#This Row],[SHEET_REF_RENTAL]],""))</f>
        <v>RentalApp</v>
      </c>
      <c r="D147" s="4" t="s">
        <v>2762</v>
      </c>
      <c r="E147" s="4" t="b">
        <v>0</v>
      </c>
      <c r="F147" s="41" t="b">
        <f ca="1">($H$141&lt;&gt;"")</f>
        <v>0</v>
      </c>
      <c r="G147" s="6" t="s">
        <v>2743</v>
      </c>
      <c r="H147" s="11" t="str">
        <f ca="1">IFERROR(VLOOKUP(DB_TBL_DATA_FIELDS[[#This Row],[FIELD_ID]],INDIRECT(DB_TBL_DATA_FIELDS[[#This Row],[SHEET_REF_CALC]]&amp;"!A:B"),2,FALSE),"")</f>
        <v/>
      </c>
      <c r="I147" s="29" t="str">
        <f ca="1">IF(DB_TBL_DATA_FIELDS[[#This Row],[FIELD_VALUE_RAW]]="","",DB_TBL_DATA_FIELDS[[#This Row],[FIELD_REQ_FLAG]])</f>
        <v/>
      </c>
      <c r="J147" s="6" t="b">
        <f ca="1">(DB_TBL_DATA_FIELDS[[#This Row],[FIELD_VALUE_RAW]]="")</f>
        <v>1</v>
      </c>
      <c r="K147" s="6" t="s">
        <v>11</v>
      </c>
      <c r="L147" s="8" t="b">
        <f ca="1">AND(IF(DB_TBL_DATA_FIELDS[[#This Row],[FIELD_VALID_CUSTOM_LOGIC]]="",TRUE,DB_TBL_DATA_FIELDS[[#This Row],[FIELD_VALID_CUSTOM_LOGIC]]),DB_TBL_DATA_FIELDS[[#This Row],[RANGE_VALIDATION_PASSED_FLAG]])</f>
        <v>1</v>
      </c>
      <c r="M147"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47" s="8">
        <f ca="1">IF(DB_TBL_DATA_FIELDS[[#This Row],[SHEET_REF_CALC]]="","",IF(DB_TBL_DATA_FIELDS[[#This Row],[FIELD_EMPTY_FLAG]],IF(NOT(DB_TBL_DATA_FIELDS[[#This Row],[FIELD_REQ_FLAG]]),-1,1),IF(NOT(DB_TBL_DATA_FIELDS[[#This Row],[FIELD_VALID_FLAG]]),0,2)))</f>
        <v>-1</v>
      </c>
      <c r="O147" s="8" t="str">
        <f ca="1">IFERROR(VLOOKUP(DB_TBL_DATA_FIELDS[[#This Row],[FIELD_STATUS_CODE]],DB_TBL_CONFIG_FIELDSTATUSCODES[#All],3,FALSE),"")</f>
        <v>Optional</v>
      </c>
      <c r="P147" s="8" t="str">
        <f ca="1">IFERROR(VLOOKUP(DB_TBL_DATA_FIELDS[[#This Row],[FIELD_STATUS_CODE]],DB_TBL_CONFIG_FIELDSTATUSCODES[#All],4,FALSE),"")</f>
        <v xml:space="preserve"> </v>
      </c>
      <c r="Q147" s="8" t="b">
        <f>TRUE</f>
        <v>1</v>
      </c>
      <c r="R147" s="8" t="b">
        <f>TRUE</f>
        <v>1</v>
      </c>
      <c r="S147" s="4" t="s">
        <v>11</v>
      </c>
      <c r="T147" s="8">
        <f ca="1">IF(DB_TBL_DATA_FIELDS[[#This Row],[RANGE_VALIDATION_FLAG]]="Text",LEN(DB_TBL_DATA_FIELDS[[#This Row],[FIELD_VALUE_RAW]]),IFERROR(VALUE(DB_TBL_DATA_FIELDS[[#This Row],[FIELD_VALUE_RAW]]),-1))</f>
        <v>0</v>
      </c>
      <c r="U147" s="8">
        <v>0</v>
      </c>
      <c r="V147" s="101">
        <f>CONFIG_CHAR_LIMIT_MEDIUM</f>
        <v>1500</v>
      </c>
      <c r="W147" s="8" t="b">
        <f ca="1">IF(NOT(DB_TBL_DATA_FIELDS[[#This Row],[RANGE_VALIDATION_ON_FLAG]]),TRUE,
AND(DB_TBL_DATA_FIELDS[[#This Row],[RANGE_VALUE_LEN]]&gt;=DB_TBL_DATA_FIELDS[[#This Row],[RANGE_VALIDATION_MIN]],DB_TBL_DATA_FIELDS[[#This Row],[RANGE_VALUE_LEN]]&lt;=DB_TBL_DATA_FIELDS[[#This Row],[RANGE_VALIDATION_MAX]]))</f>
        <v>1</v>
      </c>
      <c r="X147" s="8">
        <v>1</v>
      </c>
      <c r="Y147" s="8">
        <f ca="1">IF(DB_TBL_DATA_FIELDS[[#This Row],[PCT_CALC_SHOW_STATUS_CODE]]=1,
DB_TBL_DATA_FIELDS[[#This Row],[FIELD_STATUS_CODE]],
IF(AND(DB_TBL_DATA_FIELDS[[#This Row],[PCT_CALC_SHOW_STATUS_CODE]]=2,DB_TBL_DATA_FIELDS[[#This Row],[FIELD_STATUS_CODE]]=0),
DB_TBL_DATA_FIELDS[[#This Row],[FIELD_STATUS_CODE]],
"")
)</f>
        <v>-1</v>
      </c>
      <c r="Z147" s="8"/>
      <c r="AA147" s="11" t="s">
        <v>2721</v>
      </c>
      <c r="AB147" s="11" t="s">
        <v>2869</v>
      </c>
      <c r="AC147" s="8"/>
    </row>
    <row r="148" spans="1:29" x14ac:dyDescent="0.2">
      <c r="A148" s="4"/>
      <c r="B148" s="4" t="s">
        <v>64</v>
      </c>
      <c r="C148" s="16" t="str">
        <f ca="1">IF($H$10&lt;&gt;"R",IF(DB_TBL_DATA_FIELDS[[#This Row],[SHEET_REF_OWNER]]&lt;&gt;"",DB_TBL_DATA_FIELDS[[#This Row],[SHEET_REF_OWNER]],""),IF(DB_TBL_DATA_FIELDS[[#This Row],[SHEET_REF_RENTAL]]&lt;&gt;"",DB_TBL_DATA_FIELDS[[#This Row],[SHEET_REF_RENTAL]],""))</f>
        <v>RentalApp</v>
      </c>
      <c r="D148" s="89" t="s">
        <v>3387</v>
      </c>
      <c r="E148" s="4" t="b">
        <v>1</v>
      </c>
      <c r="F148" s="25" t="b">
        <v>0</v>
      </c>
      <c r="G148" s="6" t="s">
        <v>2744</v>
      </c>
      <c r="H148" s="11" t="str">
        <f ca="1">IFERROR(VLOOKUP(DB_TBL_DATA_FIELDS[[#This Row],[FIELD_ID]],INDIRECT(DB_TBL_DATA_FIELDS[[#This Row],[SHEET_REF_CALC]]&amp;"!A:B"),2,FALSE),"")</f>
        <v/>
      </c>
      <c r="I148" s="11"/>
      <c r="J148" s="6" t="b">
        <f ca="1">(DB_TBL_DATA_FIELDS[[#This Row],[FIELD_VALUE_RAW]]="")</f>
        <v>1</v>
      </c>
      <c r="K148" s="6" t="s">
        <v>11</v>
      </c>
      <c r="L148" s="8" t="b">
        <f ca="1">AND(IF(DB_TBL_DATA_FIELDS[[#This Row],[FIELD_VALID_CUSTOM_LOGIC]]="",TRUE,DB_TBL_DATA_FIELDS[[#This Row],[FIELD_VALID_CUSTOM_LOGIC]]),DB_TBL_DATA_FIELDS[[#This Row],[RANGE_VALIDATION_PASSED_FLAG]])</f>
        <v>1</v>
      </c>
      <c r="M148"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48" s="8">
        <f ca="1">IF(DB_TBL_DATA_FIELDS[[#This Row],[SHEET_REF_CALC]]="","",IF(DB_TBL_DATA_FIELDS[[#This Row],[FIELD_EMPTY_FLAG]],IF(NOT(DB_TBL_DATA_FIELDS[[#This Row],[FIELD_REQ_FLAG]]),-1,1),IF(NOT(DB_TBL_DATA_FIELDS[[#This Row],[FIELD_VALID_FLAG]]),0,2)))</f>
        <v>-1</v>
      </c>
      <c r="O148" s="8" t="str">
        <f ca="1">IFERROR(VLOOKUP(DB_TBL_DATA_FIELDS[[#This Row],[FIELD_STATUS_CODE]],DB_TBL_CONFIG_FIELDSTATUSCODES[#All],3,FALSE),"")</f>
        <v>Optional</v>
      </c>
      <c r="P148" s="8" t="str">
        <f ca="1">IFERROR(VLOOKUP(DB_TBL_DATA_FIELDS[[#This Row],[FIELD_STATUS_CODE]],DB_TBL_CONFIG_FIELDSTATUSCODES[#All],4,FALSE),"")</f>
        <v xml:space="preserve"> </v>
      </c>
      <c r="Q148" s="8" t="b">
        <f>TRUE</f>
        <v>1</v>
      </c>
      <c r="R148" s="8" t="b">
        <f>TRUE</f>
        <v>1</v>
      </c>
      <c r="S148" s="4" t="s">
        <v>11</v>
      </c>
      <c r="T148" s="8">
        <f ca="1">IF(DB_TBL_DATA_FIELDS[[#This Row],[RANGE_VALIDATION_FLAG]]="Text",LEN(DB_TBL_DATA_FIELDS[[#This Row],[FIELD_VALUE_RAW]]),IFERROR(VALUE(DB_TBL_DATA_FIELDS[[#This Row],[FIELD_VALUE_RAW]]),-1))</f>
        <v>0</v>
      </c>
      <c r="U148" s="8">
        <v>0</v>
      </c>
      <c r="V148" s="34">
        <v>32767</v>
      </c>
      <c r="W148" s="8" t="b">
        <f ca="1">IF(NOT(DB_TBL_DATA_FIELDS[[#This Row],[RANGE_VALIDATION_ON_FLAG]]),TRUE,
AND(DB_TBL_DATA_FIELDS[[#This Row],[RANGE_VALUE_LEN]]&gt;=DB_TBL_DATA_FIELDS[[#This Row],[RANGE_VALIDATION_MIN]],DB_TBL_DATA_FIELDS[[#This Row],[RANGE_VALUE_LEN]]&lt;=DB_TBL_DATA_FIELDS[[#This Row],[RANGE_VALIDATION_MAX]]))</f>
        <v>1</v>
      </c>
      <c r="X148" s="8">
        <v>1</v>
      </c>
      <c r="Y148" s="8">
        <f ca="1">IF(DB_TBL_DATA_FIELDS[[#This Row],[PCT_CALC_SHOW_STATUS_CODE]]=1,
DB_TBL_DATA_FIELDS[[#This Row],[FIELD_STATUS_CODE]],
IF(AND(DB_TBL_DATA_FIELDS[[#This Row],[PCT_CALC_SHOW_STATUS_CODE]]=2,DB_TBL_DATA_FIELDS[[#This Row],[FIELD_STATUS_CODE]]=0),
DB_TBL_DATA_FIELDS[[#This Row],[FIELD_STATUS_CODE]],
"")
)</f>
        <v>-1</v>
      </c>
      <c r="Z148" s="8"/>
      <c r="AA148" s="10" t="s">
        <v>2728</v>
      </c>
      <c r="AB148" s="11" t="s">
        <v>2869</v>
      </c>
      <c r="AC148" s="8" t="s">
        <v>2729</v>
      </c>
    </row>
    <row r="149" spans="1:29" x14ac:dyDescent="0.2">
      <c r="A149" s="4"/>
      <c r="B149" s="4" t="s">
        <v>64</v>
      </c>
      <c r="C149" s="16" t="str">
        <f ca="1">IF($H$10&lt;&gt;"R",IF(DB_TBL_DATA_FIELDS[[#This Row],[SHEET_REF_OWNER]]&lt;&gt;"",DB_TBL_DATA_FIELDS[[#This Row],[SHEET_REF_OWNER]],""),IF(DB_TBL_DATA_FIELDS[[#This Row],[SHEET_REF_RENTAL]]&lt;&gt;"",DB_TBL_DATA_FIELDS[[#This Row],[SHEET_REF_RENTAL]],""))</f>
        <v>RentalApp</v>
      </c>
      <c r="D149" s="89" t="s">
        <v>3389</v>
      </c>
      <c r="E149" s="4" t="b">
        <v>0</v>
      </c>
      <c r="F149" s="41" t="b">
        <f t="shared" ref="F149:F154" ca="1" si="1">($H$148&lt;&gt;"")</f>
        <v>0</v>
      </c>
      <c r="G149" s="6" t="s">
        <v>2745</v>
      </c>
      <c r="H149" s="11" t="str">
        <f ca="1">IFERROR(VLOOKUP(DB_TBL_DATA_FIELDS[[#This Row],[FIELD_ID]],INDIRECT(DB_TBL_DATA_FIELDS[[#This Row],[SHEET_REF_CALC]]&amp;"!A:B"),2,FALSE),"")</f>
        <v/>
      </c>
      <c r="I149" s="29" t="str">
        <f ca="1">IF(DB_TBL_DATA_FIELDS[[#This Row],[FIELD_VALUE_RAW]]="","",DB_TBL_DATA_FIELDS[[#This Row],[FIELD_REQ_FLAG]])</f>
        <v/>
      </c>
      <c r="J149" s="6" t="b">
        <f ca="1">(DB_TBL_DATA_FIELDS[[#This Row],[FIELD_VALUE_RAW]]="")</f>
        <v>1</v>
      </c>
      <c r="K149" s="6" t="s">
        <v>11</v>
      </c>
      <c r="L149" s="8" t="b">
        <f ca="1">AND(IF(DB_TBL_DATA_FIELDS[[#This Row],[FIELD_VALID_CUSTOM_LOGIC]]="",TRUE,DB_TBL_DATA_FIELDS[[#This Row],[FIELD_VALID_CUSTOM_LOGIC]]),DB_TBL_DATA_FIELDS[[#This Row],[RANGE_VALIDATION_PASSED_FLAG]])</f>
        <v>1</v>
      </c>
      <c r="M149"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49" s="8">
        <f ca="1">IF(DB_TBL_DATA_FIELDS[[#This Row],[SHEET_REF_CALC]]="","",IF(DB_TBL_DATA_FIELDS[[#This Row],[FIELD_EMPTY_FLAG]],IF(NOT(DB_TBL_DATA_FIELDS[[#This Row],[FIELD_REQ_FLAG]]),-1,1),IF(NOT(DB_TBL_DATA_FIELDS[[#This Row],[FIELD_VALID_FLAG]]),0,2)))</f>
        <v>-1</v>
      </c>
      <c r="O149" s="8" t="str">
        <f ca="1">IFERROR(VLOOKUP(DB_TBL_DATA_FIELDS[[#This Row],[FIELD_STATUS_CODE]],DB_TBL_CONFIG_FIELDSTATUSCODES[#All],3,FALSE),"")</f>
        <v>Optional</v>
      </c>
      <c r="P149" s="8" t="str">
        <f ca="1">IFERROR(VLOOKUP(DB_TBL_DATA_FIELDS[[#This Row],[FIELD_STATUS_CODE]],DB_TBL_CONFIG_FIELDSTATUSCODES[#All],4,FALSE),"")</f>
        <v xml:space="preserve"> </v>
      </c>
      <c r="Q149" s="8" t="b">
        <f>TRUE</f>
        <v>1</v>
      </c>
      <c r="R149" s="8" t="b">
        <f>TRUE</f>
        <v>1</v>
      </c>
      <c r="S149" s="4" t="s">
        <v>11</v>
      </c>
      <c r="T149" s="8">
        <f ca="1">IF(DB_TBL_DATA_FIELDS[[#This Row],[RANGE_VALIDATION_FLAG]]="Text",LEN(DB_TBL_DATA_FIELDS[[#This Row],[FIELD_VALUE_RAW]]),IFERROR(VALUE(DB_TBL_DATA_FIELDS[[#This Row],[FIELD_VALUE_RAW]]),-1))</f>
        <v>0</v>
      </c>
      <c r="U149" s="8">
        <v>0</v>
      </c>
      <c r="V149" s="34">
        <v>32767</v>
      </c>
      <c r="W149" s="8" t="b">
        <f ca="1">IF(NOT(DB_TBL_DATA_FIELDS[[#This Row],[RANGE_VALIDATION_ON_FLAG]]),TRUE,
AND(DB_TBL_DATA_FIELDS[[#This Row],[RANGE_VALUE_LEN]]&gt;=DB_TBL_DATA_FIELDS[[#This Row],[RANGE_VALIDATION_MIN]],DB_TBL_DATA_FIELDS[[#This Row],[RANGE_VALUE_LEN]]&lt;=DB_TBL_DATA_FIELDS[[#This Row],[RANGE_VALIDATION_MAX]]))</f>
        <v>1</v>
      </c>
      <c r="X149" s="8">
        <v>1</v>
      </c>
      <c r="Y149" s="8">
        <f ca="1">IF(DB_TBL_DATA_FIELDS[[#This Row],[PCT_CALC_SHOW_STATUS_CODE]]=1,
DB_TBL_DATA_FIELDS[[#This Row],[FIELD_STATUS_CODE]],
IF(AND(DB_TBL_DATA_FIELDS[[#This Row],[PCT_CALC_SHOW_STATUS_CODE]]=2,DB_TBL_DATA_FIELDS[[#This Row],[FIELD_STATUS_CODE]]=0),
DB_TBL_DATA_FIELDS[[#This Row],[FIELD_STATUS_CODE]],
"")
)</f>
        <v>-1</v>
      </c>
      <c r="Z149" s="8"/>
      <c r="AA149" s="11" t="s">
        <v>2722</v>
      </c>
      <c r="AB149" s="11" t="s">
        <v>2869</v>
      </c>
      <c r="AC149" s="8"/>
    </row>
    <row r="150" spans="1:29" x14ac:dyDescent="0.2">
      <c r="A150" s="4"/>
      <c r="B150" s="4" t="s">
        <v>64</v>
      </c>
      <c r="C150" s="16" t="str">
        <f ca="1">IF($H$10&lt;&gt;"R",IF(DB_TBL_DATA_FIELDS[[#This Row],[SHEET_REF_OWNER]]&lt;&gt;"",DB_TBL_DATA_FIELDS[[#This Row],[SHEET_REF_OWNER]],""),IF(DB_TBL_DATA_FIELDS[[#This Row],[SHEET_REF_RENTAL]]&lt;&gt;"",DB_TBL_DATA_FIELDS[[#This Row],[SHEET_REF_RENTAL]],""))</f>
        <v>RentalApp</v>
      </c>
      <c r="D150" s="89" t="s">
        <v>2763</v>
      </c>
      <c r="E150" s="4" t="b">
        <v>0</v>
      </c>
      <c r="F150" s="41" t="b">
        <f t="shared" ca="1" si="1"/>
        <v>0</v>
      </c>
      <c r="G150" s="6" t="s">
        <v>2746</v>
      </c>
      <c r="H150" s="11" t="str">
        <f ca="1">IFERROR(VLOOKUP(DB_TBL_DATA_FIELDS[[#This Row],[FIELD_ID]],INDIRECT(DB_TBL_DATA_FIELDS[[#This Row],[SHEET_REF_CALC]]&amp;"!A:B"),2,FALSE),"")</f>
        <v/>
      </c>
      <c r="I150" s="29" t="str">
        <f ca="1">IF(DB_TBL_DATA_FIELDS[[#This Row],[FIELD_VALUE_RAW]]="","",DB_TBL_DATA_FIELDS[[#This Row],[FIELD_REQ_FLAG]])</f>
        <v/>
      </c>
      <c r="J150" s="6" t="b">
        <f ca="1">(DB_TBL_DATA_FIELDS[[#This Row],[FIELD_VALUE_RAW]]="")</f>
        <v>1</v>
      </c>
      <c r="K150" s="6" t="s">
        <v>11</v>
      </c>
      <c r="L150" s="8" t="b">
        <f ca="1">AND(IF(DB_TBL_DATA_FIELDS[[#This Row],[FIELD_VALID_CUSTOM_LOGIC]]="",TRUE,DB_TBL_DATA_FIELDS[[#This Row],[FIELD_VALID_CUSTOM_LOGIC]]),DB_TBL_DATA_FIELDS[[#This Row],[RANGE_VALIDATION_PASSED_FLAG]])</f>
        <v>1</v>
      </c>
      <c r="M150"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50" s="8">
        <f ca="1">IF(DB_TBL_DATA_FIELDS[[#This Row],[SHEET_REF_CALC]]="","",IF(DB_TBL_DATA_FIELDS[[#This Row],[FIELD_EMPTY_FLAG]],IF(NOT(DB_TBL_DATA_FIELDS[[#This Row],[FIELD_REQ_FLAG]]),-1,1),IF(NOT(DB_TBL_DATA_FIELDS[[#This Row],[FIELD_VALID_FLAG]]),0,2)))</f>
        <v>-1</v>
      </c>
      <c r="O150" s="8" t="str">
        <f ca="1">IFERROR(VLOOKUP(DB_TBL_DATA_FIELDS[[#This Row],[FIELD_STATUS_CODE]],DB_TBL_CONFIG_FIELDSTATUSCODES[#All],3,FALSE),"")</f>
        <v>Optional</v>
      </c>
      <c r="P150" s="8" t="str">
        <f ca="1">IFERROR(VLOOKUP(DB_TBL_DATA_FIELDS[[#This Row],[FIELD_STATUS_CODE]],DB_TBL_CONFIG_FIELDSTATUSCODES[#All],4,FALSE),"")</f>
        <v xml:space="preserve"> </v>
      </c>
      <c r="Q150" s="8" t="b">
        <f>TRUE</f>
        <v>1</v>
      </c>
      <c r="R150" s="8" t="b">
        <f>TRUE</f>
        <v>1</v>
      </c>
      <c r="S150" s="4" t="s">
        <v>11</v>
      </c>
      <c r="T150" s="8">
        <f ca="1">IF(DB_TBL_DATA_FIELDS[[#This Row],[RANGE_VALIDATION_FLAG]]="Text",LEN(DB_TBL_DATA_FIELDS[[#This Row],[FIELD_VALUE_RAW]]),IFERROR(VALUE(DB_TBL_DATA_FIELDS[[#This Row],[FIELD_VALUE_RAW]]),-1))</f>
        <v>0</v>
      </c>
      <c r="U150" s="8">
        <v>0</v>
      </c>
      <c r="V150" s="101">
        <f>CONFIG_CHAR_LIMIT_MEDIUM</f>
        <v>1500</v>
      </c>
      <c r="W150" s="8" t="b">
        <f ca="1">IF(NOT(DB_TBL_DATA_FIELDS[[#This Row],[RANGE_VALIDATION_ON_FLAG]]),TRUE,
AND(DB_TBL_DATA_FIELDS[[#This Row],[RANGE_VALUE_LEN]]&gt;=DB_TBL_DATA_FIELDS[[#This Row],[RANGE_VALIDATION_MIN]],DB_TBL_DATA_FIELDS[[#This Row],[RANGE_VALUE_LEN]]&lt;=DB_TBL_DATA_FIELDS[[#This Row],[RANGE_VALIDATION_MAX]]))</f>
        <v>1</v>
      </c>
      <c r="X150" s="8">
        <v>1</v>
      </c>
      <c r="Y150" s="8">
        <f ca="1">IF(DB_TBL_DATA_FIELDS[[#This Row],[PCT_CALC_SHOW_STATUS_CODE]]=1,
DB_TBL_DATA_FIELDS[[#This Row],[FIELD_STATUS_CODE]],
IF(AND(DB_TBL_DATA_FIELDS[[#This Row],[PCT_CALC_SHOW_STATUS_CODE]]=2,DB_TBL_DATA_FIELDS[[#This Row],[FIELD_STATUS_CODE]]=0),
DB_TBL_DATA_FIELDS[[#This Row],[FIELD_STATUS_CODE]],
"")
)</f>
        <v>-1</v>
      </c>
      <c r="Z150" s="8"/>
      <c r="AA150" s="11" t="s">
        <v>2723</v>
      </c>
      <c r="AB150" s="11" t="s">
        <v>2869</v>
      </c>
      <c r="AC150" s="8"/>
    </row>
    <row r="151" spans="1:29" x14ac:dyDescent="0.2">
      <c r="A151" s="4"/>
      <c r="B151" s="4" t="s">
        <v>64</v>
      </c>
      <c r="C151" s="16" t="str">
        <f ca="1">IF($H$10&lt;&gt;"R",IF(DB_TBL_DATA_FIELDS[[#This Row],[SHEET_REF_OWNER]]&lt;&gt;"",DB_TBL_DATA_FIELDS[[#This Row],[SHEET_REF_OWNER]],""),IF(DB_TBL_DATA_FIELDS[[#This Row],[SHEET_REF_RENTAL]]&lt;&gt;"",DB_TBL_DATA_FIELDS[[#This Row],[SHEET_REF_RENTAL]],""))</f>
        <v>RentalApp</v>
      </c>
      <c r="D151" s="89" t="s">
        <v>2764</v>
      </c>
      <c r="E151" s="4" t="b">
        <v>0</v>
      </c>
      <c r="F151" s="41" t="b">
        <f ca="1">($H$148&lt;&gt;"")</f>
        <v>0</v>
      </c>
      <c r="G151" s="6" t="s">
        <v>2747</v>
      </c>
      <c r="H151" s="11" t="str">
        <f ca="1">IFERROR(VLOOKUP(DB_TBL_DATA_FIELDS[[#This Row],[FIELD_ID]],INDIRECT(DB_TBL_DATA_FIELDS[[#This Row],[SHEET_REF_CALC]]&amp;"!A:B"),2,FALSE),"")</f>
        <v/>
      </c>
      <c r="I151" s="29" t="str">
        <f ca="1">IF(DB_TBL_DATA_FIELDS[[#This Row],[FIELD_VALUE_RAW]]="","",DB_TBL_DATA_FIELDS[[#This Row],[FIELD_REQ_FLAG]])</f>
        <v/>
      </c>
      <c r="J151" s="6" t="b">
        <f ca="1">(DB_TBL_DATA_FIELDS[[#This Row],[FIELD_VALUE_RAW]]="")</f>
        <v>1</v>
      </c>
      <c r="K151" s="6" t="s">
        <v>11</v>
      </c>
      <c r="L151" s="8" t="b">
        <f ca="1">AND(IF(DB_TBL_DATA_FIELDS[[#This Row],[FIELD_VALID_CUSTOM_LOGIC]]="",TRUE,DB_TBL_DATA_FIELDS[[#This Row],[FIELD_VALID_CUSTOM_LOGIC]]),DB_TBL_DATA_FIELDS[[#This Row],[RANGE_VALIDATION_PASSED_FLAG]])</f>
        <v>1</v>
      </c>
      <c r="M151"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51" s="8">
        <f ca="1">IF(DB_TBL_DATA_FIELDS[[#This Row],[SHEET_REF_CALC]]="","",IF(DB_TBL_DATA_FIELDS[[#This Row],[FIELD_EMPTY_FLAG]],IF(NOT(DB_TBL_DATA_FIELDS[[#This Row],[FIELD_REQ_FLAG]]),-1,1),IF(NOT(DB_TBL_DATA_FIELDS[[#This Row],[FIELD_VALID_FLAG]]),0,2)))</f>
        <v>-1</v>
      </c>
      <c r="O151" s="8" t="str">
        <f ca="1">IFERROR(VLOOKUP(DB_TBL_DATA_FIELDS[[#This Row],[FIELD_STATUS_CODE]],DB_TBL_CONFIG_FIELDSTATUSCODES[#All],3,FALSE),"")</f>
        <v>Optional</v>
      </c>
      <c r="P151" s="8" t="str">
        <f ca="1">IFERROR(VLOOKUP(DB_TBL_DATA_FIELDS[[#This Row],[FIELD_STATUS_CODE]],DB_TBL_CONFIG_FIELDSTATUSCODES[#All],4,FALSE),"")</f>
        <v xml:space="preserve"> </v>
      </c>
      <c r="Q151" s="8" t="b">
        <f>TRUE</f>
        <v>1</v>
      </c>
      <c r="R151" s="8" t="b">
        <f>TRUE</f>
        <v>1</v>
      </c>
      <c r="S151" s="4" t="s">
        <v>11</v>
      </c>
      <c r="T151" s="8">
        <f ca="1">IF(DB_TBL_DATA_FIELDS[[#This Row],[RANGE_VALIDATION_FLAG]]="Text",LEN(DB_TBL_DATA_FIELDS[[#This Row],[FIELD_VALUE_RAW]]),IFERROR(VALUE(DB_TBL_DATA_FIELDS[[#This Row],[FIELD_VALUE_RAW]]),-1))</f>
        <v>0</v>
      </c>
      <c r="U151" s="8">
        <v>0</v>
      </c>
      <c r="V151" s="101">
        <f>CONFIG_CHAR_LIMIT_LARGE</f>
        <v>2000</v>
      </c>
      <c r="W151" s="8" t="b">
        <f ca="1">IF(NOT(DB_TBL_DATA_FIELDS[[#This Row],[RANGE_VALIDATION_ON_FLAG]]),TRUE,
AND(DB_TBL_DATA_FIELDS[[#This Row],[RANGE_VALUE_LEN]]&gt;=DB_TBL_DATA_FIELDS[[#This Row],[RANGE_VALIDATION_MIN]],DB_TBL_DATA_FIELDS[[#This Row],[RANGE_VALUE_LEN]]&lt;=DB_TBL_DATA_FIELDS[[#This Row],[RANGE_VALIDATION_MAX]]))</f>
        <v>1</v>
      </c>
      <c r="X151" s="8">
        <v>1</v>
      </c>
      <c r="Y151" s="8">
        <f ca="1">IF(DB_TBL_DATA_FIELDS[[#This Row],[PCT_CALC_SHOW_STATUS_CODE]]=1,
DB_TBL_DATA_FIELDS[[#This Row],[FIELD_STATUS_CODE]],
IF(AND(DB_TBL_DATA_FIELDS[[#This Row],[PCT_CALC_SHOW_STATUS_CODE]]=2,DB_TBL_DATA_FIELDS[[#This Row],[FIELD_STATUS_CODE]]=0),
DB_TBL_DATA_FIELDS[[#This Row],[FIELD_STATUS_CODE]],
"")
)</f>
        <v>-1</v>
      </c>
      <c r="Z151" s="8"/>
      <c r="AA151" s="11" t="s">
        <v>2724</v>
      </c>
      <c r="AB151" s="11" t="s">
        <v>2869</v>
      </c>
      <c r="AC151" s="8"/>
    </row>
    <row r="152" spans="1:29" x14ac:dyDescent="0.2">
      <c r="A152" s="4"/>
      <c r="B152" s="4" t="s">
        <v>64</v>
      </c>
      <c r="C152" s="16" t="str">
        <f ca="1">IF($H$10&lt;&gt;"R",IF(DB_TBL_DATA_FIELDS[[#This Row],[SHEET_REF_OWNER]]&lt;&gt;"",DB_TBL_DATA_FIELDS[[#This Row],[SHEET_REF_OWNER]],""),IF(DB_TBL_DATA_FIELDS[[#This Row],[SHEET_REF_RENTAL]]&lt;&gt;"",DB_TBL_DATA_FIELDS[[#This Row],[SHEET_REF_RENTAL]],""))</f>
        <v>RentalApp</v>
      </c>
      <c r="D152" s="89" t="s">
        <v>2765</v>
      </c>
      <c r="E152" s="4" t="b">
        <v>0</v>
      </c>
      <c r="F152" s="25" t="b">
        <v>0</v>
      </c>
      <c r="G152" s="6" t="s">
        <v>2748</v>
      </c>
      <c r="H152" s="11" t="str">
        <f ca="1">IFERROR(VLOOKUP(DB_TBL_DATA_FIELDS[[#This Row],[FIELD_ID]],INDIRECT(DB_TBL_DATA_FIELDS[[#This Row],[SHEET_REF_CALC]]&amp;"!A:B"),2,FALSE),"")</f>
        <v/>
      </c>
      <c r="I152" s="29" t="str">
        <f ca="1">IF(DB_TBL_DATA_FIELDS[[#This Row],[FIELD_VALUE_RAW]]="","",$H$148&lt;&gt;"")</f>
        <v/>
      </c>
      <c r="J152" s="6" t="b">
        <f ca="1">(DB_TBL_DATA_FIELDS[[#This Row],[FIELD_VALUE_RAW]]="")</f>
        <v>1</v>
      </c>
      <c r="K152" s="6" t="s">
        <v>11</v>
      </c>
      <c r="L152" s="8" t="b">
        <f ca="1">AND(IF(DB_TBL_DATA_FIELDS[[#This Row],[FIELD_VALID_CUSTOM_LOGIC]]="",TRUE,DB_TBL_DATA_FIELDS[[#This Row],[FIELD_VALID_CUSTOM_LOGIC]]),DB_TBL_DATA_FIELDS[[#This Row],[RANGE_VALIDATION_PASSED_FLAG]])</f>
        <v>1</v>
      </c>
      <c r="M152"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52" s="8">
        <f ca="1">IF(DB_TBL_DATA_FIELDS[[#This Row],[SHEET_REF_CALC]]="","",IF(DB_TBL_DATA_FIELDS[[#This Row],[FIELD_EMPTY_FLAG]],IF(NOT(DB_TBL_DATA_FIELDS[[#This Row],[FIELD_REQ_FLAG]]),-1,1),IF(NOT(DB_TBL_DATA_FIELDS[[#This Row],[FIELD_VALID_FLAG]]),0,2)))</f>
        <v>-1</v>
      </c>
      <c r="O152" s="8" t="str">
        <f ca="1">IFERROR(VLOOKUP(DB_TBL_DATA_FIELDS[[#This Row],[FIELD_STATUS_CODE]],DB_TBL_CONFIG_FIELDSTATUSCODES[#All],3,FALSE),"")</f>
        <v>Optional</v>
      </c>
      <c r="P152" s="8" t="str">
        <f ca="1">IFERROR(VLOOKUP(DB_TBL_DATA_FIELDS[[#This Row],[FIELD_STATUS_CODE]],DB_TBL_CONFIG_FIELDSTATUSCODES[#All],4,FALSE),"")</f>
        <v xml:space="preserve"> </v>
      </c>
      <c r="Q152" s="8" t="b">
        <f>TRUE</f>
        <v>1</v>
      </c>
      <c r="R152" s="8" t="b">
        <f>TRUE</f>
        <v>1</v>
      </c>
      <c r="S152" s="4" t="s">
        <v>11</v>
      </c>
      <c r="T152" s="8">
        <f ca="1">IF(DB_TBL_DATA_FIELDS[[#This Row],[RANGE_VALIDATION_FLAG]]="Text",LEN(DB_TBL_DATA_FIELDS[[#This Row],[FIELD_VALUE_RAW]]),IFERROR(VALUE(DB_TBL_DATA_FIELDS[[#This Row],[FIELD_VALUE_RAW]]),-1))</f>
        <v>0</v>
      </c>
      <c r="U152" s="8">
        <v>0</v>
      </c>
      <c r="V152" s="101">
        <f>CONFIG_CHAR_LIMIT_LARGE</f>
        <v>2000</v>
      </c>
      <c r="W152" s="8" t="b">
        <f ca="1">IF(NOT(DB_TBL_DATA_FIELDS[[#This Row],[RANGE_VALIDATION_ON_FLAG]]),TRUE,
AND(DB_TBL_DATA_FIELDS[[#This Row],[RANGE_VALUE_LEN]]&gt;=DB_TBL_DATA_FIELDS[[#This Row],[RANGE_VALIDATION_MIN]],DB_TBL_DATA_FIELDS[[#This Row],[RANGE_VALUE_LEN]]&lt;=DB_TBL_DATA_FIELDS[[#This Row],[RANGE_VALIDATION_MAX]]))</f>
        <v>1</v>
      </c>
      <c r="X152" s="8">
        <v>1</v>
      </c>
      <c r="Y152" s="8">
        <f ca="1">IF(DB_TBL_DATA_FIELDS[[#This Row],[PCT_CALC_SHOW_STATUS_CODE]]=1,
DB_TBL_DATA_FIELDS[[#This Row],[FIELD_STATUS_CODE]],
IF(AND(DB_TBL_DATA_FIELDS[[#This Row],[PCT_CALC_SHOW_STATUS_CODE]]=2,DB_TBL_DATA_FIELDS[[#This Row],[FIELD_STATUS_CODE]]=0),
DB_TBL_DATA_FIELDS[[#This Row],[FIELD_STATUS_CODE]],
"")
)</f>
        <v>-1</v>
      </c>
      <c r="Z152" s="8"/>
      <c r="AA152" s="11" t="s">
        <v>2725</v>
      </c>
      <c r="AB152" s="11" t="s">
        <v>2869</v>
      </c>
      <c r="AC152" s="8"/>
    </row>
    <row r="153" spans="1:29" x14ac:dyDescent="0.2">
      <c r="A153" s="4"/>
      <c r="B153" s="4" t="s">
        <v>64</v>
      </c>
      <c r="C153" s="16" t="str">
        <f ca="1">IF($H$10&lt;&gt;"R",IF(DB_TBL_DATA_FIELDS[[#This Row],[SHEET_REF_OWNER]]&lt;&gt;"",DB_TBL_DATA_FIELDS[[#This Row],[SHEET_REF_OWNER]],""),IF(DB_TBL_DATA_FIELDS[[#This Row],[SHEET_REF_RENTAL]]&lt;&gt;"",DB_TBL_DATA_FIELDS[[#This Row],[SHEET_REF_RENTAL]],""))</f>
        <v>RentalApp</v>
      </c>
      <c r="D153" s="89" t="s">
        <v>2766</v>
      </c>
      <c r="E153" s="4" t="b">
        <v>0</v>
      </c>
      <c r="F153" s="25" t="b">
        <v>0</v>
      </c>
      <c r="G153" s="6" t="s">
        <v>2749</v>
      </c>
      <c r="H153" s="11" t="str">
        <f ca="1">IFERROR(VLOOKUP(DB_TBL_DATA_FIELDS[[#This Row],[FIELD_ID]],INDIRECT(DB_TBL_DATA_FIELDS[[#This Row],[SHEET_REF_CALC]]&amp;"!A:B"),2,FALSE),"")</f>
        <v/>
      </c>
      <c r="I153" s="29" t="str">
        <f ca="1">IF(DB_TBL_DATA_FIELDS[[#This Row],[FIELD_VALUE_RAW]]="","",$H$148&lt;&gt;"")</f>
        <v/>
      </c>
      <c r="J153" s="6" t="b">
        <f ca="1">(DB_TBL_DATA_FIELDS[[#This Row],[FIELD_VALUE_RAW]]="")</f>
        <v>1</v>
      </c>
      <c r="K153" s="6" t="s">
        <v>11</v>
      </c>
      <c r="L153" s="8" t="b">
        <f ca="1">AND(IF(DB_TBL_DATA_FIELDS[[#This Row],[FIELD_VALID_CUSTOM_LOGIC]]="",TRUE,DB_TBL_DATA_FIELDS[[#This Row],[FIELD_VALID_CUSTOM_LOGIC]]),DB_TBL_DATA_FIELDS[[#This Row],[RANGE_VALIDATION_PASSED_FLAG]])</f>
        <v>1</v>
      </c>
      <c r="M153"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53" s="8">
        <f ca="1">IF(DB_TBL_DATA_FIELDS[[#This Row],[SHEET_REF_CALC]]="","",IF(DB_TBL_DATA_FIELDS[[#This Row],[FIELD_EMPTY_FLAG]],IF(NOT(DB_TBL_DATA_FIELDS[[#This Row],[FIELD_REQ_FLAG]]),-1,1),IF(NOT(DB_TBL_DATA_FIELDS[[#This Row],[FIELD_VALID_FLAG]]),0,2)))</f>
        <v>-1</v>
      </c>
      <c r="O153" s="8" t="str">
        <f ca="1">IFERROR(VLOOKUP(DB_TBL_DATA_FIELDS[[#This Row],[FIELD_STATUS_CODE]],DB_TBL_CONFIG_FIELDSTATUSCODES[#All],3,FALSE),"")</f>
        <v>Optional</v>
      </c>
      <c r="P153" s="8" t="str">
        <f ca="1">IFERROR(VLOOKUP(DB_TBL_DATA_FIELDS[[#This Row],[FIELD_STATUS_CODE]],DB_TBL_CONFIG_FIELDSTATUSCODES[#All],4,FALSE),"")</f>
        <v xml:space="preserve"> </v>
      </c>
      <c r="Q153" s="8" t="b">
        <f>TRUE</f>
        <v>1</v>
      </c>
      <c r="R153" s="8" t="b">
        <f>TRUE</f>
        <v>1</v>
      </c>
      <c r="S153" s="4" t="s">
        <v>11</v>
      </c>
      <c r="T153" s="8">
        <f ca="1">IF(DB_TBL_DATA_FIELDS[[#This Row],[RANGE_VALIDATION_FLAG]]="Text",LEN(DB_TBL_DATA_FIELDS[[#This Row],[FIELD_VALUE_RAW]]),IFERROR(VALUE(DB_TBL_DATA_FIELDS[[#This Row],[FIELD_VALUE_RAW]]),-1))</f>
        <v>0</v>
      </c>
      <c r="U153" s="8">
        <v>0</v>
      </c>
      <c r="V153" s="101">
        <f>CONFIG_CHAR_LIMIT_MEDIUM</f>
        <v>1500</v>
      </c>
      <c r="W153" s="8" t="b">
        <f ca="1">IF(NOT(DB_TBL_DATA_FIELDS[[#This Row],[RANGE_VALIDATION_ON_FLAG]]),TRUE,
AND(DB_TBL_DATA_FIELDS[[#This Row],[RANGE_VALUE_LEN]]&gt;=DB_TBL_DATA_FIELDS[[#This Row],[RANGE_VALIDATION_MIN]],DB_TBL_DATA_FIELDS[[#This Row],[RANGE_VALUE_LEN]]&lt;=DB_TBL_DATA_FIELDS[[#This Row],[RANGE_VALIDATION_MAX]]))</f>
        <v>1</v>
      </c>
      <c r="X153" s="8">
        <v>1</v>
      </c>
      <c r="Y153" s="8">
        <f ca="1">IF(DB_TBL_DATA_FIELDS[[#This Row],[PCT_CALC_SHOW_STATUS_CODE]]=1,
DB_TBL_DATA_FIELDS[[#This Row],[FIELD_STATUS_CODE]],
IF(AND(DB_TBL_DATA_FIELDS[[#This Row],[PCT_CALC_SHOW_STATUS_CODE]]=2,DB_TBL_DATA_FIELDS[[#This Row],[FIELD_STATUS_CODE]]=0),
DB_TBL_DATA_FIELDS[[#This Row],[FIELD_STATUS_CODE]],
"")
)</f>
        <v>-1</v>
      </c>
      <c r="Z153" s="8"/>
      <c r="AA153" s="11" t="s">
        <v>2726</v>
      </c>
      <c r="AB153" s="11" t="s">
        <v>2869</v>
      </c>
      <c r="AC153" s="8"/>
    </row>
    <row r="154" spans="1:29" ht="13.5" thickBot="1" x14ac:dyDescent="0.25">
      <c r="A154" s="67"/>
      <c r="B154" s="67" t="s">
        <v>64</v>
      </c>
      <c r="C154" s="69" t="str">
        <f ca="1">IF($H$10&lt;&gt;"R",IF(DB_TBL_DATA_FIELDS[[#This Row],[SHEET_REF_OWNER]]&lt;&gt;"",DB_TBL_DATA_FIELDS[[#This Row],[SHEET_REF_OWNER]],""),IF(DB_TBL_DATA_FIELDS[[#This Row],[SHEET_REF_RENTAL]]&lt;&gt;"",DB_TBL_DATA_FIELDS[[#This Row],[SHEET_REF_RENTAL]],""))</f>
        <v>RentalApp</v>
      </c>
      <c r="D154" s="89" t="s">
        <v>2767</v>
      </c>
      <c r="E154" s="67" t="b">
        <v>0</v>
      </c>
      <c r="F154" s="80" t="b">
        <f t="shared" ca="1" si="1"/>
        <v>0</v>
      </c>
      <c r="G154" s="72" t="s">
        <v>2750</v>
      </c>
      <c r="H154" s="73" t="str">
        <f ca="1">IFERROR(VLOOKUP(DB_TBL_DATA_FIELDS[[#This Row],[FIELD_ID]],INDIRECT(DB_TBL_DATA_FIELDS[[#This Row],[SHEET_REF_CALC]]&amp;"!A:B"),2,FALSE),"")</f>
        <v/>
      </c>
      <c r="I154" s="76" t="str">
        <f ca="1">IF(DB_TBL_DATA_FIELDS[[#This Row],[FIELD_VALUE_RAW]]="","",DB_TBL_DATA_FIELDS[[#This Row],[FIELD_REQ_FLAG]])</f>
        <v/>
      </c>
      <c r="J154" s="72" t="b">
        <f ca="1">(DB_TBL_DATA_FIELDS[[#This Row],[FIELD_VALUE_RAW]]="")</f>
        <v>1</v>
      </c>
      <c r="K154" s="72" t="s">
        <v>11</v>
      </c>
      <c r="L154" s="68" t="b">
        <f ca="1">AND(IF(DB_TBL_DATA_FIELDS[[#This Row],[FIELD_VALID_CUSTOM_LOGIC]]="",TRUE,DB_TBL_DATA_FIELDS[[#This Row],[FIELD_VALID_CUSTOM_LOGIC]]),DB_TBL_DATA_FIELDS[[#This Row],[RANGE_VALIDATION_PASSED_FLAG]])</f>
        <v>1</v>
      </c>
      <c r="M154" s="7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54" s="68">
        <f ca="1">IF(DB_TBL_DATA_FIELDS[[#This Row],[SHEET_REF_CALC]]="","",IF(DB_TBL_DATA_FIELDS[[#This Row],[FIELD_EMPTY_FLAG]],IF(NOT(DB_TBL_DATA_FIELDS[[#This Row],[FIELD_REQ_FLAG]]),-1,1),IF(NOT(DB_TBL_DATA_FIELDS[[#This Row],[FIELD_VALID_FLAG]]),0,2)))</f>
        <v>-1</v>
      </c>
      <c r="O154" s="68" t="str">
        <f ca="1">IFERROR(VLOOKUP(DB_TBL_DATA_FIELDS[[#This Row],[FIELD_STATUS_CODE]],DB_TBL_CONFIG_FIELDSTATUSCODES[#All],3,FALSE),"")</f>
        <v>Optional</v>
      </c>
      <c r="P154" s="68" t="str">
        <f ca="1">IFERROR(VLOOKUP(DB_TBL_DATA_FIELDS[[#This Row],[FIELD_STATUS_CODE]],DB_TBL_CONFIG_FIELDSTATUSCODES[#All],4,FALSE),"")</f>
        <v xml:space="preserve"> </v>
      </c>
      <c r="Q154" s="68" t="b">
        <f>TRUE</f>
        <v>1</v>
      </c>
      <c r="R154" s="68" t="b">
        <f>TRUE</f>
        <v>1</v>
      </c>
      <c r="S154" s="67" t="s">
        <v>11</v>
      </c>
      <c r="T154" s="68">
        <f ca="1">IF(DB_TBL_DATA_FIELDS[[#This Row],[RANGE_VALIDATION_FLAG]]="Text",LEN(DB_TBL_DATA_FIELDS[[#This Row],[FIELD_VALUE_RAW]]),IFERROR(VALUE(DB_TBL_DATA_FIELDS[[#This Row],[FIELD_VALUE_RAW]]),-1))</f>
        <v>0</v>
      </c>
      <c r="U154" s="68">
        <v>0</v>
      </c>
      <c r="V154" s="101">
        <f>CONFIG_CHAR_LIMIT_MEDIUM</f>
        <v>1500</v>
      </c>
      <c r="W154" s="68" t="b">
        <f ca="1">IF(NOT(DB_TBL_DATA_FIELDS[[#This Row],[RANGE_VALIDATION_ON_FLAG]]),TRUE,
AND(DB_TBL_DATA_FIELDS[[#This Row],[RANGE_VALUE_LEN]]&gt;=DB_TBL_DATA_FIELDS[[#This Row],[RANGE_VALIDATION_MIN]],DB_TBL_DATA_FIELDS[[#This Row],[RANGE_VALUE_LEN]]&lt;=DB_TBL_DATA_FIELDS[[#This Row],[RANGE_VALIDATION_MAX]]))</f>
        <v>1</v>
      </c>
      <c r="X154" s="68">
        <v>1</v>
      </c>
      <c r="Y154" s="68">
        <f ca="1">IF(DB_TBL_DATA_FIELDS[[#This Row],[PCT_CALC_SHOW_STATUS_CODE]]=1,
DB_TBL_DATA_FIELDS[[#This Row],[FIELD_STATUS_CODE]],
IF(AND(DB_TBL_DATA_FIELDS[[#This Row],[PCT_CALC_SHOW_STATUS_CODE]]=2,DB_TBL_DATA_FIELDS[[#This Row],[FIELD_STATUS_CODE]]=0),
DB_TBL_DATA_FIELDS[[#This Row],[FIELD_STATUS_CODE]],
"")
)</f>
        <v>-1</v>
      </c>
      <c r="Z154" s="68"/>
      <c r="AA154" s="73" t="s">
        <v>2727</v>
      </c>
      <c r="AB154" s="73" t="s">
        <v>2869</v>
      </c>
      <c r="AC154" s="68"/>
    </row>
    <row r="155" spans="1:29" s="63" customFormat="1" x14ac:dyDescent="0.2">
      <c r="A155" s="4" t="s">
        <v>65</v>
      </c>
      <c r="B155" s="4" t="s">
        <v>64</v>
      </c>
      <c r="C155" s="16" t="str">
        <f ca="1">IF($H$10&lt;&gt;"R",IF(DB_TBL_DATA_FIELDS[[#This Row],[SHEET_REF_OWNER]]&lt;&gt;"",DB_TBL_DATA_FIELDS[[#This Row],[SHEET_REF_OWNER]],""),IF(DB_TBL_DATA_FIELDS[[#This Row],[SHEET_REF_RENTAL]]&lt;&gt;"",DB_TBL_DATA_FIELDS[[#This Row],[SHEET_REF_RENTAL]],""))</f>
        <v>RentalApp</v>
      </c>
      <c r="D155" s="32" t="s">
        <v>2772</v>
      </c>
      <c r="E155" s="91" t="b">
        <v>1</v>
      </c>
      <c r="F155" s="92" t="b">
        <v>1</v>
      </c>
      <c r="G155" s="94" t="s">
        <v>2794</v>
      </c>
      <c r="H155" s="58" t="str">
        <f ca="1">IFERROR(VLOOKUP(DB_TBL_DATA_FIELDS[[#This Row],[FIELD_ID]],INDIRECT(DB_TBL_DATA_FIELDS[[#This Row],[SHEET_REF_CALC]]&amp;"!A:B"),2,FALSE),"")</f>
        <v/>
      </c>
      <c r="I155" s="56" t="str">
        <f ca="1">IF(DONATED_UNITS="","",IF(DONATED_UNITS=0,TRUE,(DONATED_UNITS+IF(FEDACQUIRED_UNITS&lt;&gt;"",FEDACQUIRED_UNITS,0)+IF(UNDERFMV_UNITS&lt;&gt;"",UNDERFMV_UNITS,0))&lt;=DATA_TOTAL_UNITS))</f>
        <v/>
      </c>
      <c r="J155" s="93" t="b">
        <f ca="1">(DB_TBL_DATA_FIELDS[[#This Row],[FIELD_VALUE_RAW]]="")</f>
        <v>1</v>
      </c>
      <c r="K155" s="94" t="s">
        <v>62</v>
      </c>
      <c r="L155" s="83" t="b">
        <f ca="1">AND(IF(DB_TBL_DATA_FIELDS[[#This Row],[FIELD_VALID_CUSTOM_LOGIC]]="",TRUE,DB_TBL_DATA_FIELDS[[#This Row],[FIELD_VALID_CUSTOM_LOGIC]]),DB_TBL_DATA_FIELDS[[#This Row],[RANGE_VALIDATION_PASSED_FLAG]])</f>
        <v>0</v>
      </c>
      <c r="M155" s="58"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55" s="83">
        <f ca="1">IF(DB_TBL_DATA_FIELDS[[#This Row],[SHEET_REF_CALC]]="","",IF(DB_TBL_DATA_FIELDS[[#This Row],[FIELD_EMPTY_FLAG]],IF(NOT(DB_TBL_DATA_FIELDS[[#This Row],[FIELD_REQ_FLAG]]),-1,1),IF(NOT(DB_TBL_DATA_FIELDS[[#This Row],[FIELD_VALID_FLAG]]),0,2)))</f>
        <v>1</v>
      </c>
      <c r="O155" s="83" t="str">
        <f ca="1">IFERROR(VLOOKUP(DB_TBL_DATA_FIELDS[[#This Row],[FIELD_STATUS_CODE]],DB_TBL_CONFIG_FIELDSTATUSCODES[#All],3,FALSE),"")</f>
        <v>Required</v>
      </c>
      <c r="P155" s="83" t="str">
        <f ca="1">IFERROR(VLOOKUP(DB_TBL_DATA_FIELDS[[#This Row],[FIELD_STATUS_CODE]],DB_TBL_CONFIG_FIELDSTATUSCODES[#All],4,FALSE),"")</f>
        <v>i</v>
      </c>
      <c r="Q155" s="83" t="b">
        <f>TRUE</f>
        <v>1</v>
      </c>
      <c r="R155" s="83" t="b">
        <f>TRUE</f>
        <v>1</v>
      </c>
      <c r="S155" s="32" t="s">
        <v>62</v>
      </c>
      <c r="T155" s="83">
        <f ca="1">IF(DB_TBL_DATA_FIELDS[[#This Row],[RANGE_VALIDATION_FLAG]]="Text",LEN(DB_TBL_DATA_FIELDS[[#This Row],[FIELD_VALUE_RAW]]),IFERROR(VALUE(DB_TBL_DATA_FIELDS[[#This Row],[FIELD_VALUE_RAW]]),-1))</f>
        <v>-1</v>
      </c>
      <c r="U155" s="83">
        <v>0</v>
      </c>
      <c r="V155" s="8">
        <v>999999999999</v>
      </c>
      <c r="W155" s="83" t="b">
        <f ca="1">IF(NOT(DB_TBL_DATA_FIELDS[[#This Row],[RANGE_VALIDATION_ON_FLAG]]),TRUE,
AND(DB_TBL_DATA_FIELDS[[#This Row],[RANGE_VALUE_LEN]]&gt;=DB_TBL_DATA_FIELDS[[#This Row],[RANGE_VALIDATION_MIN]],DB_TBL_DATA_FIELDS[[#This Row],[RANGE_VALUE_LEN]]&lt;=DB_TBL_DATA_FIELDS[[#This Row],[RANGE_VALIDATION_MAX]]))</f>
        <v>0</v>
      </c>
      <c r="X155" s="83">
        <v>1</v>
      </c>
      <c r="Y155" s="83">
        <f ca="1">IF(DB_TBL_DATA_FIELDS[[#This Row],[PCT_CALC_SHOW_STATUS_CODE]]=1,
DB_TBL_DATA_FIELDS[[#This Row],[FIELD_STATUS_CODE]],
IF(AND(DB_TBL_DATA_FIELDS[[#This Row],[PCT_CALC_SHOW_STATUS_CODE]]=2,DB_TBL_DATA_FIELDS[[#This Row],[FIELD_STATUS_CODE]]=0),
DB_TBL_DATA_FIELDS[[#This Row],[FIELD_STATUS_CODE]],
"")
)</f>
        <v>1</v>
      </c>
      <c r="Z155" s="101" t="str">
        <f ca="1">IF(DB_TBL_DATA_FIELDS[[#This Row],[FIELD_VALUE_RAW]]="","",IF(NOT(DB_TBL_DATA_FIELDS[[#This Row],[FIELD_VALID_CUSTOM_LOGIC]]),
IF(AND(OR(FEDACQUIRED_UNITS="",FEDACQUIRED_UNITS=0),OR(UNDERFMV_UNITS="",UNDERFMV_UNITS=0)),"Exceeds Total Project Units","Donated + Acquired from Federal Agency + Acquired Below FMV Units Exceeds Total Project Units"),""))</f>
        <v/>
      </c>
      <c r="AA155" s="33" t="s">
        <v>2817</v>
      </c>
      <c r="AB155" s="33" t="s">
        <v>2840</v>
      </c>
      <c r="AC155" s="83"/>
    </row>
    <row r="156" spans="1:29" s="63" customFormat="1" x14ac:dyDescent="0.2">
      <c r="A156" s="4" t="s">
        <v>65</v>
      </c>
      <c r="B156" s="4" t="s">
        <v>64</v>
      </c>
      <c r="C156" s="16" t="str">
        <f ca="1">IF($H$10&lt;&gt;"R",IF(DB_TBL_DATA_FIELDS[[#This Row],[SHEET_REF_OWNER]]&lt;&gt;"",DB_TBL_DATA_FIELDS[[#This Row],[SHEET_REF_OWNER]],""),IF(DB_TBL_DATA_FIELDS[[#This Row],[SHEET_REF_RENTAL]]&lt;&gt;"",DB_TBL_DATA_FIELDS[[#This Row],[SHEET_REF_RENTAL]],""))</f>
        <v>RentalApp</v>
      </c>
      <c r="D156" s="32" t="s">
        <v>2773</v>
      </c>
      <c r="E156" s="91" t="b">
        <v>0</v>
      </c>
      <c r="F156" s="84" t="b">
        <f ca="1">AND($H$155&gt;0,NOT($J$155))</f>
        <v>0</v>
      </c>
      <c r="G156" s="94" t="s">
        <v>2795</v>
      </c>
      <c r="H156" s="58" t="str">
        <f ca="1">IFERROR(VLOOKUP(DB_TBL_DATA_FIELDS[[#This Row],[FIELD_ID]],INDIRECT(DB_TBL_DATA_FIELDS[[#This Row],[SHEET_REF_CALC]]&amp;"!A:B"),2,FALSE),"")</f>
        <v/>
      </c>
      <c r="I156" s="29" t="str">
        <f ca="1">IF(DB_TBL_DATA_FIELDS[[#This Row],[FIELD_VALUE_RAW]]="","",DB_TBL_DATA_FIELDS[[#This Row],[FIELD_REQ_FLAG]])</f>
        <v/>
      </c>
      <c r="J156" s="93" t="b">
        <f ca="1">(DB_TBL_DATA_FIELDS[[#This Row],[FIELD_VALUE_RAW]]="")</f>
        <v>1</v>
      </c>
      <c r="K156" s="94" t="s">
        <v>11</v>
      </c>
      <c r="L156" s="83" t="b">
        <f ca="1">AND(IF(DB_TBL_DATA_FIELDS[[#This Row],[FIELD_VALID_CUSTOM_LOGIC]]="",TRUE,DB_TBL_DATA_FIELDS[[#This Row],[FIELD_VALID_CUSTOM_LOGIC]]),DB_TBL_DATA_FIELDS[[#This Row],[RANGE_VALIDATION_PASSED_FLAG]])</f>
        <v>1</v>
      </c>
      <c r="M156" s="58"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56" s="83">
        <f ca="1">IF(DB_TBL_DATA_FIELDS[[#This Row],[SHEET_REF_CALC]]="","",IF(DB_TBL_DATA_FIELDS[[#This Row],[FIELD_EMPTY_FLAG]],IF(NOT(DB_TBL_DATA_FIELDS[[#This Row],[FIELD_REQ_FLAG]]),-1,1),IF(NOT(DB_TBL_DATA_FIELDS[[#This Row],[FIELD_VALID_FLAG]]),0,2)))</f>
        <v>-1</v>
      </c>
      <c r="O156" s="83" t="str">
        <f ca="1">IFERROR(VLOOKUP(DB_TBL_DATA_FIELDS[[#This Row],[FIELD_STATUS_CODE]],DB_TBL_CONFIG_FIELDSTATUSCODES[#All],3,FALSE),"")</f>
        <v>Optional</v>
      </c>
      <c r="P156" s="83" t="str">
        <f ca="1">IFERROR(VLOOKUP(DB_TBL_DATA_FIELDS[[#This Row],[FIELD_STATUS_CODE]],DB_TBL_CONFIG_FIELDSTATUSCODES[#All],4,FALSE),"")</f>
        <v xml:space="preserve"> </v>
      </c>
      <c r="Q156" s="83" t="b">
        <f>TRUE</f>
        <v>1</v>
      </c>
      <c r="R156" s="83" t="b">
        <f>TRUE</f>
        <v>1</v>
      </c>
      <c r="S156" s="32" t="s">
        <v>11</v>
      </c>
      <c r="T156" s="83">
        <f ca="1">IF(DB_TBL_DATA_FIELDS[[#This Row],[RANGE_VALIDATION_FLAG]]="Text",LEN(DB_TBL_DATA_FIELDS[[#This Row],[FIELD_VALUE_RAW]]),IFERROR(VALUE(DB_TBL_DATA_FIELDS[[#This Row],[FIELD_VALUE_RAW]]),-1))</f>
        <v>0</v>
      </c>
      <c r="U156" s="83">
        <v>0</v>
      </c>
      <c r="V156" s="83">
        <v>32767</v>
      </c>
      <c r="W156" s="83" t="b">
        <f ca="1">IF(NOT(DB_TBL_DATA_FIELDS[[#This Row],[RANGE_VALIDATION_ON_FLAG]]),TRUE,
AND(DB_TBL_DATA_FIELDS[[#This Row],[RANGE_VALUE_LEN]]&gt;=DB_TBL_DATA_FIELDS[[#This Row],[RANGE_VALIDATION_MIN]],DB_TBL_DATA_FIELDS[[#This Row],[RANGE_VALUE_LEN]]&lt;=DB_TBL_DATA_FIELDS[[#This Row],[RANGE_VALIDATION_MAX]]))</f>
        <v>1</v>
      </c>
      <c r="X156" s="83">
        <v>1</v>
      </c>
      <c r="Y156" s="83">
        <f ca="1">IF(DB_TBL_DATA_FIELDS[[#This Row],[PCT_CALC_SHOW_STATUS_CODE]]=1,
DB_TBL_DATA_FIELDS[[#This Row],[FIELD_STATUS_CODE]],
IF(AND(DB_TBL_DATA_FIELDS[[#This Row],[PCT_CALC_SHOW_STATUS_CODE]]=2,DB_TBL_DATA_FIELDS[[#This Row],[FIELD_STATUS_CODE]]=0),
DB_TBL_DATA_FIELDS[[#This Row],[FIELD_STATUS_CODE]],
"")
)</f>
        <v>-1</v>
      </c>
      <c r="Z156" s="83"/>
      <c r="AA156" s="33" t="s">
        <v>2818</v>
      </c>
      <c r="AB156" s="33" t="s">
        <v>2840</v>
      </c>
      <c r="AC156" s="83"/>
    </row>
    <row r="157" spans="1:29" s="63" customFormat="1" x14ac:dyDescent="0.2">
      <c r="A157" s="4" t="s">
        <v>65</v>
      </c>
      <c r="B157" s="4" t="s">
        <v>64</v>
      </c>
      <c r="C157" s="16" t="str">
        <f ca="1">IF($H$10&lt;&gt;"R",IF(DB_TBL_DATA_FIELDS[[#This Row],[SHEET_REF_OWNER]]&lt;&gt;"",DB_TBL_DATA_FIELDS[[#This Row],[SHEET_REF_OWNER]],""),IF(DB_TBL_DATA_FIELDS[[#This Row],[SHEET_REF_RENTAL]]&lt;&gt;"",DB_TBL_DATA_FIELDS[[#This Row],[SHEET_REF_RENTAL]],""))</f>
        <v>RentalApp</v>
      </c>
      <c r="D157" s="32" t="s">
        <v>2774</v>
      </c>
      <c r="E157" s="91" t="b">
        <v>0</v>
      </c>
      <c r="F157" s="84" t="b">
        <f ca="1">AND($H$155&gt;0,NOT($J$155))</f>
        <v>0</v>
      </c>
      <c r="G157" s="94" t="s">
        <v>2796</v>
      </c>
      <c r="H157" s="58" t="str">
        <f ca="1">IFERROR(VLOOKUP(DB_TBL_DATA_FIELDS[[#This Row],[FIELD_ID]],INDIRECT(DB_TBL_DATA_FIELDS[[#This Row],[SHEET_REF_CALC]]&amp;"!A:B"),2,FALSE),"")</f>
        <v/>
      </c>
      <c r="I157" s="29" t="str">
        <f ca="1">IF(DB_TBL_DATA_FIELDS[[#This Row],[FIELD_VALUE_RAW]]="","",DB_TBL_DATA_FIELDS[[#This Row],[FIELD_REQ_FLAG]])</f>
        <v/>
      </c>
      <c r="J157" s="93" t="b">
        <f ca="1">(DB_TBL_DATA_FIELDS[[#This Row],[FIELD_VALUE_RAW]]="")</f>
        <v>1</v>
      </c>
      <c r="K157" s="94" t="s">
        <v>11</v>
      </c>
      <c r="L157" s="83" t="b">
        <f ca="1">AND(IF(DB_TBL_DATA_FIELDS[[#This Row],[FIELD_VALID_CUSTOM_LOGIC]]="",TRUE,DB_TBL_DATA_FIELDS[[#This Row],[FIELD_VALID_CUSTOM_LOGIC]]),DB_TBL_DATA_FIELDS[[#This Row],[RANGE_VALIDATION_PASSED_FLAG]])</f>
        <v>1</v>
      </c>
      <c r="M157" s="58"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57" s="83">
        <f ca="1">IF(DB_TBL_DATA_FIELDS[[#This Row],[SHEET_REF_CALC]]="","",IF(DB_TBL_DATA_FIELDS[[#This Row],[FIELD_EMPTY_FLAG]],IF(NOT(DB_TBL_DATA_FIELDS[[#This Row],[FIELD_REQ_FLAG]]),-1,1),IF(NOT(DB_TBL_DATA_FIELDS[[#This Row],[FIELD_VALID_FLAG]]),0,2)))</f>
        <v>-1</v>
      </c>
      <c r="O157" s="83" t="str">
        <f ca="1">IFERROR(VLOOKUP(DB_TBL_DATA_FIELDS[[#This Row],[FIELD_STATUS_CODE]],DB_TBL_CONFIG_FIELDSTATUSCODES[#All],3,FALSE),"")</f>
        <v>Optional</v>
      </c>
      <c r="P157" s="83" t="str">
        <f ca="1">IFERROR(VLOOKUP(DB_TBL_DATA_FIELDS[[#This Row],[FIELD_STATUS_CODE]],DB_TBL_CONFIG_FIELDSTATUSCODES[#All],4,FALSE),"")</f>
        <v xml:space="preserve"> </v>
      </c>
      <c r="Q157" s="83" t="b">
        <f>TRUE</f>
        <v>1</v>
      </c>
      <c r="R157" s="83" t="b">
        <f>TRUE</f>
        <v>1</v>
      </c>
      <c r="S157" s="32" t="s">
        <v>11</v>
      </c>
      <c r="T157" s="83">
        <f ca="1">IF(DB_TBL_DATA_FIELDS[[#This Row],[RANGE_VALIDATION_FLAG]]="Text",LEN(DB_TBL_DATA_FIELDS[[#This Row],[FIELD_VALUE_RAW]]),IFERROR(VALUE(DB_TBL_DATA_FIELDS[[#This Row],[FIELD_VALUE_RAW]]),-1))</f>
        <v>0</v>
      </c>
      <c r="U157" s="83">
        <v>0</v>
      </c>
      <c r="V157" s="83">
        <v>32767</v>
      </c>
      <c r="W157" s="83" t="b">
        <f ca="1">IF(NOT(DB_TBL_DATA_FIELDS[[#This Row],[RANGE_VALIDATION_ON_FLAG]]),TRUE,
AND(DB_TBL_DATA_FIELDS[[#This Row],[RANGE_VALUE_LEN]]&gt;=DB_TBL_DATA_FIELDS[[#This Row],[RANGE_VALIDATION_MIN]],DB_TBL_DATA_FIELDS[[#This Row],[RANGE_VALUE_LEN]]&lt;=DB_TBL_DATA_FIELDS[[#This Row],[RANGE_VALIDATION_MAX]]))</f>
        <v>1</v>
      </c>
      <c r="X157" s="83">
        <v>1</v>
      </c>
      <c r="Y157" s="83">
        <f ca="1">IF(DB_TBL_DATA_FIELDS[[#This Row],[PCT_CALC_SHOW_STATUS_CODE]]=1,
DB_TBL_DATA_FIELDS[[#This Row],[FIELD_STATUS_CODE]],
IF(AND(DB_TBL_DATA_FIELDS[[#This Row],[PCT_CALC_SHOW_STATUS_CODE]]=2,DB_TBL_DATA_FIELDS[[#This Row],[FIELD_STATUS_CODE]]=0),
DB_TBL_DATA_FIELDS[[#This Row],[FIELD_STATUS_CODE]],
"")
)</f>
        <v>-1</v>
      </c>
      <c r="Z157" s="83"/>
      <c r="AA157" s="33" t="s">
        <v>2819</v>
      </c>
      <c r="AB157" s="33" t="s">
        <v>2840</v>
      </c>
      <c r="AC157" s="83"/>
    </row>
    <row r="158" spans="1:29" s="63" customFormat="1" x14ac:dyDescent="0.2">
      <c r="A158" s="4" t="s">
        <v>65</v>
      </c>
      <c r="B158" s="4" t="s">
        <v>64</v>
      </c>
      <c r="C158" s="16" t="str">
        <f ca="1">IF($H$10&lt;&gt;"R",IF(DB_TBL_DATA_FIELDS[[#This Row],[SHEET_REF_OWNER]]&lt;&gt;"",DB_TBL_DATA_FIELDS[[#This Row],[SHEET_REF_OWNER]],""),IF(DB_TBL_DATA_FIELDS[[#This Row],[SHEET_REF_RENTAL]]&lt;&gt;"",DB_TBL_DATA_FIELDS[[#This Row],[SHEET_REF_RENTAL]],""))</f>
        <v>RentalApp</v>
      </c>
      <c r="D158" s="32" t="s">
        <v>2775</v>
      </c>
      <c r="E158" s="91" t="b">
        <v>0</v>
      </c>
      <c r="F158" s="84" t="b">
        <f ca="1">AND($H$155&gt;0,NOT($J$155))</f>
        <v>0</v>
      </c>
      <c r="G158" s="94" t="s">
        <v>2797</v>
      </c>
      <c r="H158" s="29" t="str">
        <f ca="1">IFERROR(ROUND(VLOOKUP(DB_TBL_DATA_FIELDS[[#This Row],[FIELD_ID]],INDIRECT(DB_TBL_DATA_FIELDS[[#This Row],[SHEET_REF_CALC]]&amp;"!A:B"),2,FALSE),0),"")</f>
        <v/>
      </c>
      <c r="I158" s="29" t="str">
        <f ca="1">IF(DB_TBL_DATA_FIELDS[[#This Row],[FIELD_VALUE_RAW]]="","",DB_TBL_DATA_FIELDS[[#This Row],[FIELD_REQ_FLAG]])</f>
        <v/>
      </c>
      <c r="J158" s="93" t="b">
        <f ca="1">(DB_TBL_DATA_FIELDS[[#This Row],[FIELD_VALUE_RAW]]="")</f>
        <v>1</v>
      </c>
      <c r="K158" s="94" t="s">
        <v>62</v>
      </c>
      <c r="L158" s="83" t="b">
        <f ca="1">AND(IF(DB_TBL_DATA_FIELDS[[#This Row],[FIELD_VALID_CUSTOM_LOGIC]]="",TRUE,DB_TBL_DATA_FIELDS[[#This Row],[FIELD_VALID_CUSTOM_LOGIC]]),DB_TBL_DATA_FIELDS[[#This Row],[RANGE_VALIDATION_PASSED_FLAG]])</f>
        <v>0</v>
      </c>
      <c r="M158" s="58"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58" s="83">
        <f ca="1">IF(DB_TBL_DATA_FIELDS[[#This Row],[SHEET_REF_CALC]]="","",IF(DB_TBL_DATA_FIELDS[[#This Row],[FIELD_EMPTY_FLAG]],IF(NOT(DB_TBL_DATA_FIELDS[[#This Row],[FIELD_REQ_FLAG]]),-1,1),IF(NOT(DB_TBL_DATA_FIELDS[[#This Row],[FIELD_VALID_FLAG]]),0,2)))</f>
        <v>-1</v>
      </c>
      <c r="O158" s="83" t="str">
        <f ca="1">IFERROR(VLOOKUP(DB_TBL_DATA_FIELDS[[#This Row],[FIELD_STATUS_CODE]],DB_TBL_CONFIG_FIELDSTATUSCODES[#All],3,FALSE),"")</f>
        <v>Optional</v>
      </c>
      <c r="P158" s="83" t="str">
        <f ca="1">IFERROR(VLOOKUP(DB_TBL_DATA_FIELDS[[#This Row],[FIELD_STATUS_CODE]],DB_TBL_CONFIG_FIELDSTATUSCODES[#All],4,FALSE),"")</f>
        <v xml:space="preserve"> </v>
      </c>
      <c r="Q158" s="83" t="b">
        <f>TRUE</f>
        <v>1</v>
      </c>
      <c r="R158" s="83" t="b">
        <f>TRUE</f>
        <v>1</v>
      </c>
      <c r="S158" s="32" t="s">
        <v>62</v>
      </c>
      <c r="T158" s="83">
        <f ca="1">IF(DB_TBL_DATA_FIELDS[[#This Row],[RANGE_VALIDATION_FLAG]]="Text",LEN(DB_TBL_DATA_FIELDS[[#This Row],[FIELD_VALUE_RAW]]),IFERROR(VALUE(DB_TBL_DATA_FIELDS[[#This Row],[FIELD_VALUE_RAW]]),-1))</f>
        <v>-1</v>
      </c>
      <c r="U158" s="83">
        <v>0</v>
      </c>
      <c r="V158" s="8">
        <v>999999999999</v>
      </c>
      <c r="W158" s="83" t="b">
        <f ca="1">IF(NOT(DB_TBL_DATA_FIELDS[[#This Row],[RANGE_VALIDATION_ON_FLAG]]),TRUE,
AND(DB_TBL_DATA_FIELDS[[#This Row],[RANGE_VALUE_LEN]]&gt;=DB_TBL_DATA_FIELDS[[#This Row],[RANGE_VALIDATION_MIN]],DB_TBL_DATA_FIELDS[[#This Row],[RANGE_VALUE_LEN]]&lt;=DB_TBL_DATA_FIELDS[[#This Row],[RANGE_VALIDATION_MAX]]))</f>
        <v>0</v>
      </c>
      <c r="X158" s="83">
        <v>1</v>
      </c>
      <c r="Y158" s="83">
        <f ca="1">IF(DB_TBL_DATA_FIELDS[[#This Row],[PCT_CALC_SHOW_STATUS_CODE]]=1,
DB_TBL_DATA_FIELDS[[#This Row],[FIELD_STATUS_CODE]],
IF(AND(DB_TBL_DATA_FIELDS[[#This Row],[PCT_CALC_SHOW_STATUS_CODE]]=2,DB_TBL_DATA_FIELDS[[#This Row],[FIELD_STATUS_CODE]]=0),
DB_TBL_DATA_FIELDS[[#This Row],[FIELD_STATUS_CODE]],
"")
)</f>
        <v>-1</v>
      </c>
      <c r="Z158" s="83"/>
      <c r="AA158" s="33" t="s">
        <v>2820</v>
      </c>
      <c r="AB158" s="33" t="s">
        <v>2840</v>
      </c>
      <c r="AC158" s="83"/>
    </row>
    <row r="159" spans="1:29" s="63" customFormat="1" x14ac:dyDescent="0.2">
      <c r="A159" s="4" t="s">
        <v>65</v>
      </c>
      <c r="B159" s="4" t="s">
        <v>64</v>
      </c>
      <c r="C159" s="16" t="str">
        <f ca="1">IF($H$10&lt;&gt;"R",IF(DB_TBL_DATA_FIELDS[[#This Row],[SHEET_REF_OWNER]]&lt;&gt;"",DB_TBL_DATA_FIELDS[[#This Row],[SHEET_REF_OWNER]],""),IF(DB_TBL_DATA_FIELDS[[#This Row],[SHEET_REF_RENTAL]]&lt;&gt;"",DB_TBL_DATA_FIELDS[[#This Row],[SHEET_REF_RENTAL]],""))</f>
        <v>RentalApp</v>
      </c>
      <c r="D159" s="32" t="s">
        <v>2776</v>
      </c>
      <c r="E159" s="91" t="b">
        <v>0</v>
      </c>
      <c r="F159" s="84" t="b">
        <f ca="1">AND($H$155&gt;0,NOT($J$155))</f>
        <v>0</v>
      </c>
      <c r="G159" s="94" t="s">
        <v>2798</v>
      </c>
      <c r="H159" s="29" t="str">
        <f ca="1">IFERROR(ROUND(VLOOKUP(DB_TBL_DATA_FIELDS[[#This Row],[FIELD_ID]],INDIRECT(DB_TBL_DATA_FIELDS[[#This Row],[SHEET_REF_CALC]]&amp;"!A:B"),2,FALSE),0),"")</f>
        <v/>
      </c>
      <c r="I159" s="29" t="str">
        <f ca="1">IF(DB_TBL_DATA_FIELDS[[#This Row],[FIELD_VALUE_RAW]]="","",DB_TBL_DATA_FIELDS[[#This Row],[FIELD_REQ_FLAG]])</f>
        <v/>
      </c>
      <c r="J159" s="93" t="b">
        <f ca="1">(DB_TBL_DATA_FIELDS[[#This Row],[FIELD_VALUE_RAW]]="")</f>
        <v>1</v>
      </c>
      <c r="K159" s="94" t="s">
        <v>62</v>
      </c>
      <c r="L159" s="83" t="b">
        <f ca="1">AND(IF(DB_TBL_DATA_FIELDS[[#This Row],[FIELD_VALID_CUSTOM_LOGIC]]="",TRUE,DB_TBL_DATA_FIELDS[[#This Row],[FIELD_VALID_CUSTOM_LOGIC]]),DB_TBL_DATA_FIELDS[[#This Row],[RANGE_VALIDATION_PASSED_FLAG]])</f>
        <v>0</v>
      </c>
      <c r="M159" s="58"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59" s="83">
        <f ca="1">IF(DB_TBL_DATA_FIELDS[[#This Row],[SHEET_REF_CALC]]="","",IF(DB_TBL_DATA_FIELDS[[#This Row],[FIELD_EMPTY_FLAG]],IF(NOT(DB_TBL_DATA_FIELDS[[#This Row],[FIELD_REQ_FLAG]]),-1,1),IF(NOT(DB_TBL_DATA_FIELDS[[#This Row],[FIELD_VALID_FLAG]]),0,2)))</f>
        <v>-1</v>
      </c>
      <c r="O159" s="83" t="str">
        <f ca="1">IFERROR(VLOOKUP(DB_TBL_DATA_FIELDS[[#This Row],[FIELD_STATUS_CODE]],DB_TBL_CONFIG_FIELDSTATUSCODES[#All],3,FALSE),"")</f>
        <v>Optional</v>
      </c>
      <c r="P159" s="83" t="str">
        <f ca="1">IFERROR(VLOOKUP(DB_TBL_DATA_FIELDS[[#This Row],[FIELD_STATUS_CODE]],DB_TBL_CONFIG_FIELDSTATUSCODES[#All],4,FALSE),"")</f>
        <v xml:space="preserve"> </v>
      </c>
      <c r="Q159" s="83" t="b">
        <f>TRUE</f>
        <v>1</v>
      </c>
      <c r="R159" s="83" t="b">
        <f>TRUE</f>
        <v>1</v>
      </c>
      <c r="S159" s="32" t="s">
        <v>62</v>
      </c>
      <c r="T159" s="83">
        <f ca="1">IF(DB_TBL_DATA_FIELDS[[#This Row],[RANGE_VALIDATION_FLAG]]="Text",LEN(DB_TBL_DATA_FIELDS[[#This Row],[FIELD_VALUE_RAW]]),IFERROR(VALUE(DB_TBL_DATA_FIELDS[[#This Row],[FIELD_VALUE_RAW]]),-1))</f>
        <v>-1</v>
      </c>
      <c r="U159" s="83">
        <v>0</v>
      </c>
      <c r="V159" s="8">
        <v>999999999999</v>
      </c>
      <c r="W159" s="83" t="b">
        <f ca="1">IF(NOT(DB_TBL_DATA_FIELDS[[#This Row],[RANGE_VALIDATION_ON_FLAG]]),TRUE,
AND(DB_TBL_DATA_FIELDS[[#This Row],[RANGE_VALUE_LEN]]&gt;=DB_TBL_DATA_FIELDS[[#This Row],[RANGE_VALIDATION_MIN]],DB_TBL_DATA_FIELDS[[#This Row],[RANGE_VALUE_LEN]]&lt;=DB_TBL_DATA_FIELDS[[#This Row],[RANGE_VALIDATION_MAX]]))</f>
        <v>0</v>
      </c>
      <c r="X159" s="83">
        <v>1</v>
      </c>
      <c r="Y159" s="83">
        <f ca="1">IF(DB_TBL_DATA_FIELDS[[#This Row],[PCT_CALC_SHOW_STATUS_CODE]]=1,
DB_TBL_DATA_FIELDS[[#This Row],[FIELD_STATUS_CODE]],
IF(AND(DB_TBL_DATA_FIELDS[[#This Row],[PCT_CALC_SHOW_STATUS_CODE]]=2,DB_TBL_DATA_FIELDS[[#This Row],[FIELD_STATUS_CODE]]=0),
DB_TBL_DATA_FIELDS[[#This Row],[FIELD_STATUS_CODE]],
"")
)</f>
        <v>-1</v>
      </c>
      <c r="Z159" s="83"/>
      <c r="AA159" s="33" t="s">
        <v>2821</v>
      </c>
      <c r="AB159" s="33" t="s">
        <v>2840</v>
      </c>
      <c r="AC159" s="83"/>
    </row>
    <row r="160" spans="1:29" s="63" customFormat="1" x14ac:dyDescent="0.2">
      <c r="A160" s="4" t="s">
        <v>65</v>
      </c>
      <c r="B160" s="4" t="s">
        <v>64</v>
      </c>
      <c r="C160" s="16" t="str">
        <f ca="1">IF($H$10&lt;&gt;"R",IF(DB_TBL_DATA_FIELDS[[#This Row],[SHEET_REF_OWNER]]&lt;&gt;"",DB_TBL_DATA_FIELDS[[#This Row],[SHEET_REF_OWNER]],""),IF(DB_TBL_DATA_FIELDS[[#This Row],[SHEET_REF_RENTAL]]&lt;&gt;"",DB_TBL_DATA_FIELDS[[#This Row],[SHEET_REF_RENTAL]],""))</f>
        <v>RentalApp</v>
      </c>
      <c r="D160" s="32" t="s">
        <v>2777</v>
      </c>
      <c r="E160" s="91" t="b">
        <v>1</v>
      </c>
      <c r="F160" s="92" t="b">
        <v>1</v>
      </c>
      <c r="G160" s="94" t="s">
        <v>2799</v>
      </c>
      <c r="H160" s="58" t="str">
        <f ca="1">IFERROR(VLOOKUP(DB_TBL_DATA_FIELDS[[#This Row],[FIELD_ID]],INDIRECT(DB_TBL_DATA_FIELDS[[#This Row],[SHEET_REF_CALC]]&amp;"!A:B"),2,FALSE),"")</f>
        <v/>
      </c>
      <c r="I160" s="56" t="str">
        <f ca="1">IF(FEDACQUIRED_UNITS="","",IF(FEDACQUIRED_UNITS=0,TRUE,(FEDACQUIRED_UNITS+IF(DONATED_UNITS&lt;&gt;"",DONATED_UNITS,0)+IF(UNDERFMV_UNITS&lt;&gt;"",UNDERFMV_UNITS,0))&lt;=DATA_TOTAL_UNITS))</f>
        <v/>
      </c>
      <c r="J160" s="93" t="b">
        <f ca="1">(DB_TBL_DATA_FIELDS[[#This Row],[FIELD_VALUE_RAW]]="")</f>
        <v>1</v>
      </c>
      <c r="K160" s="94" t="s">
        <v>62</v>
      </c>
      <c r="L160" s="83" t="b">
        <f ca="1">AND(IF(DB_TBL_DATA_FIELDS[[#This Row],[FIELD_VALID_CUSTOM_LOGIC]]="",TRUE,DB_TBL_DATA_FIELDS[[#This Row],[FIELD_VALID_CUSTOM_LOGIC]]),DB_TBL_DATA_FIELDS[[#This Row],[RANGE_VALIDATION_PASSED_FLAG]])</f>
        <v>0</v>
      </c>
      <c r="M160" s="58"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60" s="83">
        <f ca="1">IF(DB_TBL_DATA_FIELDS[[#This Row],[SHEET_REF_CALC]]="","",IF(DB_TBL_DATA_FIELDS[[#This Row],[FIELD_EMPTY_FLAG]],IF(NOT(DB_TBL_DATA_FIELDS[[#This Row],[FIELD_REQ_FLAG]]),-1,1),IF(NOT(DB_TBL_DATA_FIELDS[[#This Row],[FIELD_VALID_FLAG]]),0,2)))</f>
        <v>1</v>
      </c>
      <c r="O160" s="83" t="str">
        <f ca="1">IFERROR(VLOOKUP(DB_TBL_DATA_FIELDS[[#This Row],[FIELD_STATUS_CODE]],DB_TBL_CONFIG_FIELDSTATUSCODES[#All],3,FALSE),"")</f>
        <v>Required</v>
      </c>
      <c r="P160" s="83" t="str">
        <f ca="1">IFERROR(VLOOKUP(DB_TBL_DATA_FIELDS[[#This Row],[FIELD_STATUS_CODE]],DB_TBL_CONFIG_FIELDSTATUSCODES[#All],4,FALSE),"")</f>
        <v>i</v>
      </c>
      <c r="Q160" s="83" t="b">
        <f>TRUE</f>
        <v>1</v>
      </c>
      <c r="R160" s="83" t="b">
        <f>TRUE</f>
        <v>1</v>
      </c>
      <c r="S160" s="32" t="s">
        <v>62</v>
      </c>
      <c r="T160" s="83">
        <f ca="1">IF(DB_TBL_DATA_FIELDS[[#This Row],[RANGE_VALIDATION_FLAG]]="Text",LEN(DB_TBL_DATA_FIELDS[[#This Row],[FIELD_VALUE_RAW]]),IFERROR(VALUE(DB_TBL_DATA_FIELDS[[#This Row],[FIELD_VALUE_RAW]]),-1))</f>
        <v>-1</v>
      </c>
      <c r="U160" s="83">
        <v>0</v>
      </c>
      <c r="V160" s="8">
        <v>999999999999</v>
      </c>
      <c r="W160" s="83" t="b">
        <f ca="1">IF(NOT(DB_TBL_DATA_FIELDS[[#This Row],[RANGE_VALIDATION_ON_FLAG]]),TRUE,
AND(DB_TBL_DATA_FIELDS[[#This Row],[RANGE_VALUE_LEN]]&gt;=DB_TBL_DATA_FIELDS[[#This Row],[RANGE_VALIDATION_MIN]],DB_TBL_DATA_FIELDS[[#This Row],[RANGE_VALUE_LEN]]&lt;=DB_TBL_DATA_FIELDS[[#This Row],[RANGE_VALIDATION_MAX]]))</f>
        <v>0</v>
      </c>
      <c r="X160" s="83">
        <v>1</v>
      </c>
      <c r="Y160" s="83">
        <f ca="1">IF(DB_TBL_DATA_FIELDS[[#This Row],[PCT_CALC_SHOW_STATUS_CODE]]=1,
DB_TBL_DATA_FIELDS[[#This Row],[FIELD_STATUS_CODE]],
IF(AND(DB_TBL_DATA_FIELDS[[#This Row],[PCT_CALC_SHOW_STATUS_CODE]]=2,DB_TBL_DATA_FIELDS[[#This Row],[FIELD_STATUS_CODE]]=0),
DB_TBL_DATA_FIELDS[[#This Row],[FIELD_STATUS_CODE]],
"")
)</f>
        <v>1</v>
      </c>
      <c r="Z160" s="101" t="str">
        <f ca="1">IF(DB_TBL_DATA_FIELDS[[#This Row],[FIELD_VALUE_RAW]]="","",IF(NOT(DB_TBL_DATA_FIELDS[[#This Row],[FIELD_VALID_CUSTOM_LOGIC]]),
IF(AND(OR(DONATED_UNITS="",DONATED_UNITS=0),OR(UNDERFMV_UNITS="",UNDERFMV_UNITS=0)),"Exceeds Total Project Units","Donated + Acquired from Federal Agency + Acquired Below FMV Units Exceeds Total Project Units"),""))</f>
        <v/>
      </c>
      <c r="AA160" s="33" t="s">
        <v>2822</v>
      </c>
      <c r="AB160" s="33" t="s">
        <v>2840</v>
      </c>
      <c r="AC160" s="83"/>
    </row>
    <row r="161" spans="1:29" s="63" customFormat="1" x14ac:dyDescent="0.2">
      <c r="A161" s="4" t="s">
        <v>65</v>
      </c>
      <c r="B161" s="4" t="s">
        <v>64</v>
      </c>
      <c r="C161" s="16" t="str">
        <f ca="1">IF($H$10&lt;&gt;"R",IF(DB_TBL_DATA_FIELDS[[#This Row],[SHEET_REF_OWNER]]&lt;&gt;"",DB_TBL_DATA_FIELDS[[#This Row],[SHEET_REF_OWNER]],""),IF(DB_TBL_DATA_FIELDS[[#This Row],[SHEET_REF_RENTAL]]&lt;&gt;"",DB_TBL_DATA_FIELDS[[#This Row],[SHEET_REF_RENTAL]],""))</f>
        <v>RentalApp</v>
      </c>
      <c r="D161" s="32" t="s">
        <v>2778</v>
      </c>
      <c r="E161" s="91" t="b">
        <v>0</v>
      </c>
      <c r="F161" s="84" t="b">
        <f ca="1">AND(($H$160&gt;0),NOT($J$160))</f>
        <v>0</v>
      </c>
      <c r="G161" s="94" t="s">
        <v>2800</v>
      </c>
      <c r="H161" s="58" t="str">
        <f ca="1">IFERROR(VLOOKUP(DB_TBL_DATA_FIELDS[[#This Row],[FIELD_ID]],INDIRECT(DB_TBL_DATA_FIELDS[[#This Row],[SHEET_REF_CALC]]&amp;"!A:B"),2,FALSE),"")</f>
        <v/>
      </c>
      <c r="I161" s="29" t="str">
        <f ca="1">IF(DB_TBL_DATA_FIELDS[[#This Row],[FIELD_VALUE_RAW]]="","",DB_TBL_DATA_FIELDS[[#This Row],[FIELD_REQ_FLAG]])</f>
        <v/>
      </c>
      <c r="J161" s="93" t="b">
        <f ca="1">(DB_TBL_DATA_FIELDS[[#This Row],[FIELD_VALUE_RAW]]="")</f>
        <v>1</v>
      </c>
      <c r="K161" s="94" t="s">
        <v>11</v>
      </c>
      <c r="L161" s="83" t="b">
        <f ca="1">AND(IF(DB_TBL_DATA_FIELDS[[#This Row],[FIELD_VALID_CUSTOM_LOGIC]]="",TRUE,DB_TBL_DATA_FIELDS[[#This Row],[FIELD_VALID_CUSTOM_LOGIC]]),DB_TBL_DATA_FIELDS[[#This Row],[RANGE_VALIDATION_PASSED_FLAG]])</f>
        <v>1</v>
      </c>
      <c r="M161" s="58"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61" s="83">
        <f ca="1">IF(DB_TBL_DATA_FIELDS[[#This Row],[SHEET_REF_CALC]]="","",IF(DB_TBL_DATA_FIELDS[[#This Row],[FIELD_EMPTY_FLAG]],IF(NOT(DB_TBL_DATA_FIELDS[[#This Row],[FIELD_REQ_FLAG]]),-1,1),IF(NOT(DB_TBL_DATA_FIELDS[[#This Row],[FIELD_VALID_FLAG]]),0,2)))</f>
        <v>-1</v>
      </c>
      <c r="O161" s="83" t="str">
        <f ca="1">IFERROR(VLOOKUP(DB_TBL_DATA_FIELDS[[#This Row],[FIELD_STATUS_CODE]],DB_TBL_CONFIG_FIELDSTATUSCODES[#All],3,FALSE),"")</f>
        <v>Optional</v>
      </c>
      <c r="P161" s="83" t="str">
        <f ca="1">IFERROR(VLOOKUP(DB_TBL_DATA_FIELDS[[#This Row],[FIELD_STATUS_CODE]],DB_TBL_CONFIG_FIELDSTATUSCODES[#All],4,FALSE),"")</f>
        <v xml:space="preserve"> </v>
      </c>
      <c r="Q161" s="83" t="b">
        <f>TRUE</f>
        <v>1</v>
      </c>
      <c r="R161" s="83" t="b">
        <f>TRUE</f>
        <v>1</v>
      </c>
      <c r="S161" s="32" t="s">
        <v>11</v>
      </c>
      <c r="T161" s="83">
        <f ca="1">IF(DB_TBL_DATA_FIELDS[[#This Row],[RANGE_VALIDATION_FLAG]]="Text",LEN(DB_TBL_DATA_FIELDS[[#This Row],[FIELD_VALUE_RAW]]),IFERROR(VALUE(DB_TBL_DATA_FIELDS[[#This Row],[FIELD_VALUE_RAW]]),-1))</f>
        <v>0</v>
      </c>
      <c r="U161" s="83">
        <v>0</v>
      </c>
      <c r="V161" s="83">
        <v>32767</v>
      </c>
      <c r="W161" s="83" t="b">
        <f ca="1">IF(NOT(DB_TBL_DATA_FIELDS[[#This Row],[RANGE_VALIDATION_ON_FLAG]]),TRUE,
AND(DB_TBL_DATA_FIELDS[[#This Row],[RANGE_VALUE_LEN]]&gt;=DB_TBL_DATA_FIELDS[[#This Row],[RANGE_VALIDATION_MIN]],DB_TBL_DATA_FIELDS[[#This Row],[RANGE_VALUE_LEN]]&lt;=DB_TBL_DATA_FIELDS[[#This Row],[RANGE_VALIDATION_MAX]]))</f>
        <v>1</v>
      </c>
      <c r="X161" s="83">
        <v>1</v>
      </c>
      <c r="Y161" s="83">
        <f ca="1">IF(DB_TBL_DATA_FIELDS[[#This Row],[PCT_CALC_SHOW_STATUS_CODE]]=1,
DB_TBL_DATA_FIELDS[[#This Row],[FIELD_STATUS_CODE]],
IF(AND(DB_TBL_DATA_FIELDS[[#This Row],[PCT_CALC_SHOW_STATUS_CODE]]=2,DB_TBL_DATA_FIELDS[[#This Row],[FIELD_STATUS_CODE]]=0),
DB_TBL_DATA_FIELDS[[#This Row],[FIELD_STATUS_CODE]],
"")
)</f>
        <v>-1</v>
      </c>
      <c r="Z161" s="83"/>
      <c r="AA161" s="33" t="s">
        <v>2823</v>
      </c>
      <c r="AB161" s="33" t="s">
        <v>2840</v>
      </c>
      <c r="AC161" s="83"/>
    </row>
    <row r="162" spans="1:29" s="63" customFormat="1" x14ac:dyDescent="0.2">
      <c r="A162" s="4" t="s">
        <v>65</v>
      </c>
      <c r="B162" s="4" t="s">
        <v>64</v>
      </c>
      <c r="C162" s="16" t="str">
        <f ca="1">IF($H$10&lt;&gt;"R",IF(DB_TBL_DATA_FIELDS[[#This Row],[SHEET_REF_OWNER]]&lt;&gt;"",DB_TBL_DATA_FIELDS[[#This Row],[SHEET_REF_OWNER]],""),IF(DB_TBL_DATA_FIELDS[[#This Row],[SHEET_REF_RENTAL]]&lt;&gt;"",DB_TBL_DATA_FIELDS[[#This Row],[SHEET_REF_RENTAL]],""))</f>
        <v>RentalApp</v>
      </c>
      <c r="D162" s="32" t="s">
        <v>2779</v>
      </c>
      <c r="E162" s="91" t="b">
        <v>0</v>
      </c>
      <c r="F162" s="84" t="b">
        <f ca="1">AND(($H$160&gt;0),NOT($J$160))</f>
        <v>0</v>
      </c>
      <c r="G162" s="94" t="s">
        <v>2801</v>
      </c>
      <c r="H162" s="58" t="str">
        <f ca="1">IFERROR(VLOOKUP(DB_TBL_DATA_FIELDS[[#This Row],[FIELD_ID]],INDIRECT(DB_TBL_DATA_FIELDS[[#This Row],[SHEET_REF_CALC]]&amp;"!A:B"),2,FALSE),"")</f>
        <v/>
      </c>
      <c r="I162" s="29" t="str">
        <f ca="1">IF(DB_TBL_DATA_FIELDS[[#This Row],[FIELD_VALUE_RAW]]="","",DB_TBL_DATA_FIELDS[[#This Row],[FIELD_REQ_FLAG]])</f>
        <v/>
      </c>
      <c r="J162" s="93" t="b">
        <f ca="1">(DB_TBL_DATA_FIELDS[[#This Row],[FIELD_VALUE_RAW]]="")</f>
        <v>1</v>
      </c>
      <c r="K162" s="94" t="s">
        <v>11</v>
      </c>
      <c r="L162" s="83" t="b">
        <f ca="1">AND(IF(DB_TBL_DATA_FIELDS[[#This Row],[FIELD_VALID_CUSTOM_LOGIC]]="",TRUE,DB_TBL_DATA_FIELDS[[#This Row],[FIELD_VALID_CUSTOM_LOGIC]]),DB_TBL_DATA_FIELDS[[#This Row],[RANGE_VALIDATION_PASSED_FLAG]])</f>
        <v>1</v>
      </c>
      <c r="M162" s="58"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62" s="83">
        <f ca="1">IF(DB_TBL_DATA_FIELDS[[#This Row],[SHEET_REF_CALC]]="","",IF(DB_TBL_DATA_FIELDS[[#This Row],[FIELD_EMPTY_FLAG]],IF(NOT(DB_TBL_DATA_FIELDS[[#This Row],[FIELD_REQ_FLAG]]),-1,1),IF(NOT(DB_TBL_DATA_FIELDS[[#This Row],[FIELD_VALID_FLAG]]),0,2)))</f>
        <v>-1</v>
      </c>
      <c r="O162" s="83" t="str">
        <f ca="1">IFERROR(VLOOKUP(DB_TBL_DATA_FIELDS[[#This Row],[FIELD_STATUS_CODE]],DB_TBL_CONFIG_FIELDSTATUSCODES[#All],3,FALSE),"")</f>
        <v>Optional</v>
      </c>
      <c r="P162" s="83" t="str">
        <f ca="1">IFERROR(VLOOKUP(DB_TBL_DATA_FIELDS[[#This Row],[FIELD_STATUS_CODE]],DB_TBL_CONFIG_FIELDSTATUSCODES[#All],4,FALSE),"")</f>
        <v xml:space="preserve"> </v>
      </c>
      <c r="Q162" s="83" t="b">
        <f>TRUE</f>
        <v>1</v>
      </c>
      <c r="R162" s="83" t="b">
        <f>TRUE</f>
        <v>1</v>
      </c>
      <c r="S162" s="32" t="s">
        <v>11</v>
      </c>
      <c r="T162" s="83">
        <f ca="1">IF(DB_TBL_DATA_FIELDS[[#This Row],[RANGE_VALIDATION_FLAG]]="Text",LEN(DB_TBL_DATA_FIELDS[[#This Row],[FIELD_VALUE_RAW]]),IFERROR(VALUE(DB_TBL_DATA_FIELDS[[#This Row],[FIELD_VALUE_RAW]]),-1))</f>
        <v>0</v>
      </c>
      <c r="U162" s="83">
        <v>0</v>
      </c>
      <c r="V162" s="83">
        <v>32767</v>
      </c>
      <c r="W162" s="83" t="b">
        <f ca="1">IF(NOT(DB_TBL_DATA_FIELDS[[#This Row],[RANGE_VALIDATION_ON_FLAG]]),TRUE,
AND(DB_TBL_DATA_FIELDS[[#This Row],[RANGE_VALUE_LEN]]&gt;=DB_TBL_DATA_FIELDS[[#This Row],[RANGE_VALIDATION_MIN]],DB_TBL_DATA_FIELDS[[#This Row],[RANGE_VALUE_LEN]]&lt;=DB_TBL_DATA_FIELDS[[#This Row],[RANGE_VALIDATION_MAX]]))</f>
        <v>1</v>
      </c>
      <c r="X162" s="83">
        <v>1</v>
      </c>
      <c r="Y162" s="83">
        <f ca="1">IF(DB_TBL_DATA_FIELDS[[#This Row],[PCT_CALC_SHOW_STATUS_CODE]]=1,
DB_TBL_DATA_FIELDS[[#This Row],[FIELD_STATUS_CODE]],
IF(AND(DB_TBL_DATA_FIELDS[[#This Row],[PCT_CALC_SHOW_STATUS_CODE]]=2,DB_TBL_DATA_FIELDS[[#This Row],[FIELD_STATUS_CODE]]=0),
DB_TBL_DATA_FIELDS[[#This Row],[FIELD_STATUS_CODE]],
"")
)</f>
        <v>-1</v>
      </c>
      <c r="Z162" s="83"/>
      <c r="AA162" s="33" t="s">
        <v>2824</v>
      </c>
      <c r="AB162" s="33" t="s">
        <v>2840</v>
      </c>
      <c r="AC162" s="83"/>
    </row>
    <row r="163" spans="1:29" s="63" customFormat="1" x14ac:dyDescent="0.2">
      <c r="A163" s="4" t="s">
        <v>65</v>
      </c>
      <c r="B163" s="4" t="s">
        <v>64</v>
      </c>
      <c r="C163" s="16" t="str">
        <f ca="1">IF($H$10&lt;&gt;"R",IF(DB_TBL_DATA_FIELDS[[#This Row],[SHEET_REF_OWNER]]&lt;&gt;"",DB_TBL_DATA_FIELDS[[#This Row],[SHEET_REF_OWNER]],""),IF(DB_TBL_DATA_FIELDS[[#This Row],[SHEET_REF_RENTAL]]&lt;&gt;"",DB_TBL_DATA_FIELDS[[#This Row],[SHEET_REF_RENTAL]],""))</f>
        <v>RentalApp</v>
      </c>
      <c r="D163" s="32" t="s">
        <v>2780</v>
      </c>
      <c r="E163" s="91" t="b">
        <v>0</v>
      </c>
      <c r="F163" s="84" t="b">
        <f ca="1">AND(($H$160&gt;0),NOT($J$160))</f>
        <v>0</v>
      </c>
      <c r="G163" s="94" t="s">
        <v>2802</v>
      </c>
      <c r="H163" s="29" t="str">
        <f ca="1">IFERROR(ROUND(VLOOKUP(DB_TBL_DATA_FIELDS[[#This Row],[FIELD_ID]],INDIRECT(DB_TBL_DATA_FIELDS[[#This Row],[SHEET_REF_CALC]]&amp;"!A:B"),2,FALSE),0),"")</f>
        <v/>
      </c>
      <c r="I163" s="29" t="str">
        <f ca="1">IF(DB_TBL_DATA_FIELDS[[#This Row],[FIELD_VALUE_RAW]]="","",DB_TBL_DATA_FIELDS[[#This Row],[FIELD_REQ_FLAG]])</f>
        <v/>
      </c>
      <c r="J163" s="93" t="b">
        <f ca="1">(DB_TBL_DATA_FIELDS[[#This Row],[FIELD_VALUE_RAW]]="")</f>
        <v>1</v>
      </c>
      <c r="K163" s="94" t="s">
        <v>62</v>
      </c>
      <c r="L163" s="83" t="b">
        <f ca="1">AND(IF(DB_TBL_DATA_FIELDS[[#This Row],[FIELD_VALID_CUSTOM_LOGIC]]="",TRUE,DB_TBL_DATA_FIELDS[[#This Row],[FIELD_VALID_CUSTOM_LOGIC]]),DB_TBL_DATA_FIELDS[[#This Row],[RANGE_VALIDATION_PASSED_FLAG]])</f>
        <v>0</v>
      </c>
      <c r="M163" s="58"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63" s="83">
        <f ca="1">IF(DB_TBL_DATA_FIELDS[[#This Row],[SHEET_REF_CALC]]="","",IF(DB_TBL_DATA_FIELDS[[#This Row],[FIELD_EMPTY_FLAG]],IF(NOT(DB_TBL_DATA_FIELDS[[#This Row],[FIELD_REQ_FLAG]]),-1,1),IF(NOT(DB_TBL_DATA_FIELDS[[#This Row],[FIELD_VALID_FLAG]]),0,2)))</f>
        <v>-1</v>
      </c>
      <c r="O163" s="83" t="str">
        <f ca="1">IFERROR(VLOOKUP(DB_TBL_DATA_FIELDS[[#This Row],[FIELD_STATUS_CODE]],DB_TBL_CONFIG_FIELDSTATUSCODES[#All],3,FALSE),"")</f>
        <v>Optional</v>
      </c>
      <c r="P163" s="83" t="str">
        <f ca="1">IFERROR(VLOOKUP(DB_TBL_DATA_FIELDS[[#This Row],[FIELD_STATUS_CODE]],DB_TBL_CONFIG_FIELDSTATUSCODES[#All],4,FALSE),"")</f>
        <v xml:space="preserve"> </v>
      </c>
      <c r="Q163" s="83" t="b">
        <f>TRUE</f>
        <v>1</v>
      </c>
      <c r="R163" s="83" t="b">
        <f>TRUE</f>
        <v>1</v>
      </c>
      <c r="S163" s="32" t="s">
        <v>62</v>
      </c>
      <c r="T163" s="83">
        <f ca="1">IF(DB_TBL_DATA_FIELDS[[#This Row],[RANGE_VALIDATION_FLAG]]="Text",LEN(DB_TBL_DATA_FIELDS[[#This Row],[FIELD_VALUE_RAW]]),IFERROR(VALUE(DB_TBL_DATA_FIELDS[[#This Row],[FIELD_VALUE_RAW]]),-1))</f>
        <v>-1</v>
      </c>
      <c r="U163" s="83">
        <v>0</v>
      </c>
      <c r="V163" s="8">
        <v>999999999999</v>
      </c>
      <c r="W163" s="83" t="b">
        <f ca="1">IF(NOT(DB_TBL_DATA_FIELDS[[#This Row],[RANGE_VALIDATION_ON_FLAG]]),TRUE,
AND(DB_TBL_DATA_FIELDS[[#This Row],[RANGE_VALUE_LEN]]&gt;=DB_TBL_DATA_FIELDS[[#This Row],[RANGE_VALIDATION_MIN]],DB_TBL_DATA_FIELDS[[#This Row],[RANGE_VALUE_LEN]]&lt;=DB_TBL_DATA_FIELDS[[#This Row],[RANGE_VALIDATION_MAX]]))</f>
        <v>0</v>
      </c>
      <c r="X163" s="83">
        <v>1</v>
      </c>
      <c r="Y163" s="83">
        <f ca="1">IF(DB_TBL_DATA_FIELDS[[#This Row],[PCT_CALC_SHOW_STATUS_CODE]]=1,
DB_TBL_DATA_FIELDS[[#This Row],[FIELD_STATUS_CODE]],
IF(AND(DB_TBL_DATA_FIELDS[[#This Row],[PCT_CALC_SHOW_STATUS_CODE]]=2,DB_TBL_DATA_FIELDS[[#This Row],[FIELD_STATUS_CODE]]=0),
DB_TBL_DATA_FIELDS[[#This Row],[FIELD_STATUS_CODE]],
"")
)</f>
        <v>-1</v>
      </c>
      <c r="Z163" s="83"/>
      <c r="AA163" s="33" t="s">
        <v>2825</v>
      </c>
      <c r="AB163" s="33" t="s">
        <v>2840</v>
      </c>
      <c r="AC163" s="83"/>
    </row>
    <row r="164" spans="1:29" s="63" customFormat="1" x14ac:dyDescent="0.2">
      <c r="A164" s="4" t="s">
        <v>65</v>
      </c>
      <c r="B164" s="4" t="s">
        <v>64</v>
      </c>
      <c r="C164" s="16" t="str">
        <f ca="1">IF($H$10&lt;&gt;"R",IF(DB_TBL_DATA_FIELDS[[#This Row],[SHEET_REF_OWNER]]&lt;&gt;"",DB_TBL_DATA_FIELDS[[#This Row],[SHEET_REF_OWNER]],""),IF(DB_TBL_DATA_FIELDS[[#This Row],[SHEET_REF_RENTAL]]&lt;&gt;"",DB_TBL_DATA_FIELDS[[#This Row],[SHEET_REF_RENTAL]],""))</f>
        <v>RentalApp</v>
      </c>
      <c r="D164" s="32" t="s">
        <v>2781</v>
      </c>
      <c r="E164" s="91" t="b">
        <v>0</v>
      </c>
      <c r="F164" s="84" t="b">
        <f ca="1">AND(($H$160&gt;0),NOT($J$160))</f>
        <v>0</v>
      </c>
      <c r="G164" s="94" t="s">
        <v>2803</v>
      </c>
      <c r="H164" s="29" t="str">
        <f ca="1">IFERROR(ROUND(VLOOKUP(DB_TBL_DATA_FIELDS[[#This Row],[FIELD_ID]],INDIRECT(DB_TBL_DATA_FIELDS[[#This Row],[SHEET_REF_CALC]]&amp;"!A:B"),2,FALSE),0),"")</f>
        <v/>
      </c>
      <c r="I164" s="29" t="str">
        <f ca="1">IF(DB_TBL_DATA_FIELDS[[#This Row],[FIELD_VALUE_RAW]]="","",DB_TBL_DATA_FIELDS[[#This Row],[FIELD_REQ_FLAG]])</f>
        <v/>
      </c>
      <c r="J164" s="93" t="b">
        <f ca="1">(DB_TBL_DATA_FIELDS[[#This Row],[FIELD_VALUE_RAW]]="")</f>
        <v>1</v>
      </c>
      <c r="K164" s="94" t="s">
        <v>62</v>
      </c>
      <c r="L164" s="83" t="b">
        <f ca="1">AND(IF(DB_TBL_DATA_FIELDS[[#This Row],[FIELD_VALID_CUSTOM_LOGIC]]="",TRUE,DB_TBL_DATA_FIELDS[[#This Row],[FIELD_VALID_CUSTOM_LOGIC]]),DB_TBL_DATA_FIELDS[[#This Row],[RANGE_VALIDATION_PASSED_FLAG]])</f>
        <v>0</v>
      </c>
      <c r="M164" s="58"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64" s="83">
        <f ca="1">IF(DB_TBL_DATA_FIELDS[[#This Row],[SHEET_REF_CALC]]="","",IF(DB_TBL_DATA_FIELDS[[#This Row],[FIELD_EMPTY_FLAG]],IF(NOT(DB_TBL_DATA_FIELDS[[#This Row],[FIELD_REQ_FLAG]]),-1,1),IF(NOT(DB_TBL_DATA_FIELDS[[#This Row],[FIELD_VALID_FLAG]]),0,2)))</f>
        <v>-1</v>
      </c>
      <c r="O164" s="83" t="str">
        <f ca="1">IFERROR(VLOOKUP(DB_TBL_DATA_FIELDS[[#This Row],[FIELD_STATUS_CODE]],DB_TBL_CONFIG_FIELDSTATUSCODES[#All],3,FALSE),"")</f>
        <v>Optional</v>
      </c>
      <c r="P164" s="83" t="str">
        <f ca="1">IFERROR(VLOOKUP(DB_TBL_DATA_FIELDS[[#This Row],[FIELD_STATUS_CODE]],DB_TBL_CONFIG_FIELDSTATUSCODES[#All],4,FALSE),"")</f>
        <v xml:space="preserve"> </v>
      </c>
      <c r="Q164" s="83" t="b">
        <f>TRUE</f>
        <v>1</v>
      </c>
      <c r="R164" s="83" t="b">
        <f>TRUE</f>
        <v>1</v>
      </c>
      <c r="S164" s="32" t="s">
        <v>62</v>
      </c>
      <c r="T164" s="83">
        <f ca="1">IF(DB_TBL_DATA_FIELDS[[#This Row],[RANGE_VALIDATION_FLAG]]="Text",LEN(DB_TBL_DATA_FIELDS[[#This Row],[FIELD_VALUE_RAW]]),IFERROR(VALUE(DB_TBL_DATA_FIELDS[[#This Row],[FIELD_VALUE_RAW]]),-1))</f>
        <v>-1</v>
      </c>
      <c r="U164" s="83">
        <v>0</v>
      </c>
      <c r="V164" s="8">
        <v>999999999999</v>
      </c>
      <c r="W164" s="83" t="b">
        <f ca="1">IF(NOT(DB_TBL_DATA_FIELDS[[#This Row],[RANGE_VALIDATION_ON_FLAG]]),TRUE,
AND(DB_TBL_DATA_FIELDS[[#This Row],[RANGE_VALUE_LEN]]&gt;=DB_TBL_DATA_FIELDS[[#This Row],[RANGE_VALIDATION_MIN]],DB_TBL_DATA_FIELDS[[#This Row],[RANGE_VALUE_LEN]]&lt;=DB_TBL_DATA_FIELDS[[#This Row],[RANGE_VALIDATION_MAX]]))</f>
        <v>0</v>
      </c>
      <c r="X164" s="83">
        <v>1</v>
      </c>
      <c r="Y164" s="83">
        <f ca="1">IF(DB_TBL_DATA_FIELDS[[#This Row],[PCT_CALC_SHOW_STATUS_CODE]]=1,
DB_TBL_DATA_FIELDS[[#This Row],[FIELD_STATUS_CODE]],
IF(AND(DB_TBL_DATA_FIELDS[[#This Row],[PCT_CALC_SHOW_STATUS_CODE]]=2,DB_TBL_DATA_FIELDS[[#This Row],[FIELD_STATUS_CODE]]=0),
DB_TBL_DATA_FIELDS[[#This Row],[FIELD_STATUS_CODE]],
"")
)</f>
        <v>-1</v>
      </c>
      <c r="Z164" s="83"/>
      <c r="AA164" s="33" t="s">
        <v>2826</v>
      </c>
      <c r="AB164" s="33" t="s">
        <v>2840</v>
      </c>
      <c r="AC164" s="83"/>
    </row>
    <row r="165" spans="1:29" s="63" customFormat="1" x14ac:dyDescent="0.2">
      <c r="A165" s="4" t="s">
        <v>65</v>
      </c>
      <c r="B165" s="4" t="s">
        <v>64</v>
      </c>
      <c r="C165" s="16" t="str">
        <f ca="1">IF($H$10&lt;&gt;"R",IF(DB_TBL_DATA_FIELDS[[#This Row],[SHEET_REF_OWNER]]&lt;&gt;"",DB_TBL_DATA_FIELDS[[#This Row],[SHEET_REF_OWNER]],""),IF(DB_TBL_DATA_FIELDS[[#This Row],[SHEET_REF_RENTAL]]&lt;&gt;"",DB_TBL_DATA_FIELDS[[#This Row],[SHEET_REF_RENTAL]],""))</f>
        <v>RentalApp</v>
      </c>
      <c r="D165" s="32" t="s">
        <v>2782</v>
      </c>
      <c r="E165" s="91" t="b">
        <v>1</v>
      </c>
      <c r="F165" s="92" t="b">
        <v>1</v>
      </c>
      <c r="G165" s="94" t="s">
        <v>2804</v>
      </c>
      <c r="H165" s="58" t="str">
        <f ca="1">IFERROR(VLOOKUP(DB_TBL_DATA_FIELDS[[#This Row],[FIELD_ID]],INDIRECT(DB_TBL_DATA_FIELDS[[#This Row],[SHEET_REF_CALC]]&amp;"!A:B"),2,FALSE),"")</f>
        <v/>
      </c>
      <c r="I165" s="56" t="str">
        <f ca="1">IF(UNDERFMV_UNITS="","",IF(UNDERFMV_UNITS=0,TRUE,(UNDERFMV_UNITS+IF(DONATED_UNITS&lt;&gt;"",DONATED_UNITS,0)+IF(FEDACQUIRED_UNITS&lt;&gt;"",FEDACQUIRED_UNITS,0))&lt;=DATA_TOTAL_UNITS))</f>
        <v/>
      </c>
      <c r="J165" s="93" t="b">
        <f ca="1">(DB_TBL_DATA_FIELDS[[#This Row],[FIELD_VALUE_RAW]]="")</f>
        <v>1</v>
      </c>
      <c r="K165" s="94" t="s">
        <v>62</v>
      </c>
      <c r="L165" s="83" t="b">
        <f ca="1">AND(IF(DB_TBL_DATA_FIELDS[[#This Row],[FIELD_VALID_CUSTOM_LOGIC]]="",TRUE,DB_TBL_DATA_FIELDS[[#This Row],[FIELD_VALID_CUSTOM_LOGIC]]),DB_TBL_DATA_FIELDS[[#This Row],[RANGE_VALIDATION_PASSED_FLAG]])</f>
        <v>0</v>
      </c>
      <c r="M165" s="58"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65" s="83">
        <f ca="1">IF(DB_TBL_DATA_FIELDS[[#This Row],[SHEET_REF_CALC]]="","",IF(DB_TBL_DATA_FIELDS[[#This Row],[FIELD_EMPTY_FLAG]],IF(NOT(DB_TBL_DATA_FIELDS[[#This Row],[FIELD_REQ_FLAG]]),-1,1),IF(NOT(DB_TBL_DATA_FIELDS[[#This Row],[FIELD_VALID_FLAG]]),0,2)))</f>
        <v>1</v>
      </c>
      <c r="O165" s="83" t="str">
        <f ca="1">IFERROR(VLOOKUP(DB_TBL_DATA_FIELDS[[#This Row],[FIELD_STATUS_CODE]],DB_TBL_CONFIG_FIELDSTATUSCODES[#All],3,FALSE),"")</f>
        <v>Required</v>
      </c>
      <c r="P165" s="83" t="str">
        <f ca="1">IFERROR(VLOOKUP(DB_TBL_DATA_FIELDS[[#This Row],[FIELD_STATUS_CODE]],DB_TBL_CONFIG_FIELDSTATUSCODES[#All],4,FALSE),"")</f>
        <v>i</v>
      </c>
      <c r="Q165" s="83" t="b">
        <f>TRUE</f>
        <v>1</v>
      </c>
      <c r="R165" s="83" t="b">
        <f>TRUE</f>
        <v>1</v>
      </c>
      <c r="S165" s="32" t="s">
        <v>62</v>
      </c>
      <c r="T165" s="83">
        <f ca="1">IF(DB_TBL_DATA_FIELDS[[#This Row],[RANGE_VALIDATION_FLAG]]="Text",LEN(DB_TBL_DATA_FIELDS[[#This Row],[FIELD_VALUE_RAW]]),IFERROR(VALUE(DB_TBL_DATA_FIELDS[[#This Row],[FIELD_VALUE_RAW]]),-1))</f>
        <v>-1</v>
      </c>
      <c r="U165" s="83">
        <v>0</v>
      </c>
      <c r="V165" s="8">
        <v>999999999999</v>
      </c>
      <c r="W165" s="83" t="b">
        <f ca="1">IF(NOT(DB_TBL_DATA_FIELDS[[#This Row],[RANGE_VALIDATION_ON_FLAG]]),TRUE,
AND(DB_TBL_DATA_FIELDS[[#This Row],[RANGE_VALUE_LEN]]&gt;=DB_TBL_DATA_FIELDS[[#This Row],[RANGE_VALIDATION_MIN]],DB_TBL_DATA_FIELDS[[#This Row],[RANGE_VALUE_LEN]]&lt;=DB_TBL_DATA_FIELDS[[#This Row],[RANGE_VALIDATION_MAX]]))</f>
        <v>0</v>
      </c>
      <c r="X165" s="83">
        <v>1</v>
      </c>
      <c r="Y165" s="83">
        <f ca="1">IF(DB_TBL_DATA_FIELDS[[#This Row],[PCT_CALC_SHOW_STATUS_CODE]]=1,
DB_TBL_DATA_FIELDS[[#This Row],[FIELD_STATUS_CODE]],
IF(AND(DB_TBL_DATA_FIELDS[[#This Row],[PCT_CALC_SHOW_STATUS_CODE]]=2,DB_TBL_DATA_FIELDS[[#This Row],[FIELD_STATUS_CODE]]=0),
DB_TBL_DATA_FIELDS[[#This Row],[FIELD_STATUS_CODE]],
"")
)</f>
        <v>1</v>
      </c>
      <c r="Z165" s="101" t="str">
        <f ca="1">IF(DB_TBL_DATA_FIELDS[[#This Row],[FIELD_VALUE_RAW]]="","",IF(NOT(DB_TBL_DATA_FIELDS[[#This Row],[FIELD_VALID_CUSTOM_LOGIC]]),
IF(AND(OR(FEDACQUIRED_UNITS="",FEDACQUIRED_UNITS=0),OR(DONATED_UNITS="",DONATED_UNITS=0)),"Exceeds Total Project Units","Donated + Acquired from Federal Agency + Acquired Below FMV Units Exceeds Total Project Units"),""))</f>
        <v/>
      </c>
      <c r="AA165" s="33" t="s">
        <v>2827</v>
      </c>
      <c r="AB165" s="33" t="s">
        <v>2840</v>
      </c>
      <c r="AC165" s="83"/>
    </row>
    <row r="166" spans="1:29" s="63" customFormat="1" x14ac:dyDescent="0.2">
      <c r="A166" s="4" t="s">
        <v>65</v>
      </c>
      <c r="B166" s="4" t="s">
        <v>64</v>
      </c>
      <c r="C166" s="16" t="str">
        <f ca="1">IF($H$10&lt;&gt;"R",IF(DB_TBL_DATA_FIELDS[[#This Row],[SHEET_REF_OWNER]]&lt;&gt;"",DB_TBL_DATA_FIELDS[[#This Row],[SHEET_REF_OWNER]],""),IF(DB_TBL_DATA_FIELDS[[#This Row],[SHEET_REF_RENTAL]]&lt;&gt;"",DB_TBL_DATA_FIELDS[[#This Row],[SHEET_REF_RENTAL]],""))</f>
        <v>RentalApp</v>
      </c>
      <c r="D166" s="32" t="s">
        <v>2783</v>
      </c>
      <c r="E166" s="91" t="b">
        <v>0</v>
      </c>
      <c r="F166" s="84" t="b">
        <f ca="1">AND(($H$165&gt;0),NOT($J$165))</f>
        <v>0</v>
      </c>
      <c r="G166" s="94" t="s">
        <v>2805</v>
      </c>
      <c r="H166" s="58" t="str">
        <f ca="1">IFERROR(VLOOKUP(DB_TBL_DATA_FIELDS[[#This Row],[FIELD_ID]],INDIRECT(DB_TBL_DATA_FIELDS[[#This Row],[SHEET_REF_CALC]]&amp;"!A:B"),2,FALSE),"")</f>
        <v/>
      </c>
      <c r="I166" s="29" t="str">
        <f ca="1">IF(DB_TBL_DATA_FIELDS[[#This Row],[FIELD_VALUE_RAW]]="","",DB_TBL_DATA_FIELDS[[#This Row],[FIELD_REQ_FLAG]])</f>
        <v/>
      </c>
      <c r="J166" s="93" t="b">
        <f ca="1">(DB_TBL_DATA_FIELDS[[#This Row],[FIELD_VALUE_RAW]]="")</f>
        <v>1</v>
      </c>
      <c r="K166" s="94" t="s">
        <v>11</v>
      </c>
      <c r="L166" s="83" t="b">
        <f ca="1">AND(IF(DB_TBL_DATA_FIELDS[[#This Row],[FIELD_VALID_CUSTOM_LOGIC]]="",TRUE,DB_TBL_DATA_FIELDS[[#This Row],[FIELD_VALID_CUSTOM_LOGIC]]),DB_TBL_DATA_FIELDS[[#This Row],[RANGE_VALIDATION_PASSED_FLAG]])</f>
        <v>1</v>
      </c>
      <c r="M166" s="58"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66" s="83">
        <f ca="1">IF(DB_TBL_DATA_FIELDS[[#This Row],[SHEET_REF_CALC]]="","",IF(DB_TBL_DATA_FIELDS[[#This Row],[FIELD_EMPTY_FLAG]],IF(NOT(DB_TBL_DATA_FIELDS[[#This Row],[FIELD_REQ_FLAG]]),-1,1),IF(NOT(DB_TBL_DATA_FIELDS[[#This Row],[FIELD_VALID_FLAG]]),0,2)))</f>
        <v>-1</v>
      </c>
      <c r="O166" s="83" t="str">
        <f ca="1">IFERROR(VLOOKUP(DB_TBL_DATA_FIELDS[[#This Row],[FIELD_STATUS_CODE]],DB_TBL_CONFIG_FIELDSTATUSCODES[#All],3,FALSE),"")</f>
        <v>Optional</v>
      </c>
      <c r="P166" s="83" t="str">
        <f ca="1">IFERROR(VLOOKUP(DB_TBL_DATA_FIELDS[[#This Row],[FIELD_STATUS_CODE]],DB_TBL_CONFIG_FIELDSTATUSCODES[#All],4,FALSE),"")</f>
        <v xml:space="preserve"> </v>
      </c>
      <c r="Q166" s="83" t="b">
        <f>TRUE</f>
        <v>1</v>
      </c>
      <c r="R166" s="83" t="b">
        <f>TRUE</f>
        <v>1</v>
      </c>
      <c r="S166" s="32" t="s">
        <v>11</v>
      </c>
      <c r="T166" s="83">
        <f ca="1">IF(DB_TBL_DATA_FIELDS[[#This Row],[RANGE_VALIDATION_FLAG]]="Text",LEN(DB_TBL_DATA_FIELDS[[#This Row],[FIELD_VALUE_RAW]]),IFERROR(VALUE(DB_TBL_DATA_FIELDS[[#This Row],[FIELD_VALUE_RAW]]),-1))</f>
        <v>0</v>
      </c>
      <c r="U166" s="83">
        <v>0</v>
      </c>
      <c r="V166" s="83">
        <v>32767</v>
      </c>
      <c r="W166" s="83" t="b">
        <f ca="1">IF(NOT(DB_TBL_DATA_FIELDS[[#This Row],[RANGE_VALIDATION_ON_FLAG]]),TRUE,
AND(DB_TBL_DATA_FIELDS[[#This Row],[RANGE_VALUE_LEN]]&gt;=DB_TBL_DATA_FIELDS[[#This Row],[RANGE_VALIDATION_MIN]],DB_TBL_DATA_FIELDS[[#This Row],[RANGE_VALUE_LEN]]&lt;=DB_TBL_DATA_FIELDS[[#This Row],[RANGE_VALIDATION_MAX]]))</f>
        <v>1</v>
      </c>
      <c r="X166" s="83">
        <v>1</v>
      </c>
      <c r="Y166" s="83">
        <f ca="1">IF(DB_TBL_DATA_FIELDS[[#This Row],[PCT_CALC_SHOW_STATUS_CODE]]=1,
DB_TBL_DATA_FIELDS[[#This Row],[FIELD_STATUS_CODE]],
IF(AND(DB_TBL_DATA_FIELDS[[#This Row],[PCT_CALC_SHOW_STATUS_CODE]]=2,DB_TBL_DATA_FIELDS[[#This Row],[FIELD_STATUS_CODE]]=0),
DB_TBL_DATA_FIELDS[[#This Row],[FIELD_STATUS_CODE]],
"")
)</f>
        <v>-1</v>
      </c>
      <c r="Z166" s="83"/>
      <c r="AA166" s="33" t="s">
        <v>2828</v>
      </c>
      <c r="AB166" s="33" t="s">
        <v>2840</v>
      </c>
      <c r="AC166" s="83"/>
    </row>
    <row r="167" spans="1:29" s="63" customFormat="1" x14ac:dyDescent="0.2">
      <c r="A167" s="4" t="s">
        <v>65</v>
      </c>
      <c r="B167" s="4" t="s">
        <v>64</v>
      </c>
      <c r="C167" s="16" t="str">
        <f ca="1">IF($H$10&lt;&gt;"R",IF(DB_TBL_DATA_FIELDS[[#This Row],[SHEET_REF_OWNER]]&lt;&gt;"",DB_TBL_DATA_FIELDS[[#This Row],[SHEET_REF_OWNER]],""),IF(DB_TBL_DATA_FIELDS[[#This Row],[SHEET_REF_RENTAL]]&lt;&gt;"",DB_TBL_DATA_FIELDS[[#This Row],[SHEET_REF_RENTAL]],""))</f>
        <v>RentalApp</v>
      </c>
      <c r="D167" s="32" t="s">
        <v>2785</v>
      </c>
      <c r="E167" s="91" t="b">
        <v>0</v>
      </c>
      <c r="F167" s="84" t="b">
        <f ca="1">AND(($H$165&gt;0),NOT($J$165))</f>
        <v>0</v>
      </c>
      <c r="G167" s="94" t="s">
        <v>2806</v>
      </c>
      <c r="H167" s="29" t="str">
        <f ca="1">IFERROR(ROUND(VLOOKUP(DB_TBL_DATA_FIELDS[[#This Row],[FIELD_ID]],INDIRECT(DB_TBL_DATA_FIELDS[[#This Row],[SHEET_REF_CALC]]&amp;"!A:B"),2,FALSE),0),"")</f>
        <v/>
      </c>
      <c r="I167" s="29" t="str">
        <f ca="1">IF(DB_TBL_DATA_FIELDS[[#This Row],[FIELD_VALUE_RAW]]="","",DB_TBL_DATA_FIELDS[[#This Row],[FIELD_REQ_FLAG]])</f>
        <v/>
      </c>
      <c r="J167" s="93" t="b">
        <f ca="1">(DB_TBL_DATA_FIELDS[[#This Row],[FIELD_VALUE_RAW]]="")</f>
        <v>1</v>
      </c>
      <c r="K167" s="94" t="s">
        <v>62</v>
      </c>
      <c r="L167" s="83" t="b">
        <f ca="1">AND(IF(DB_TBL_DATA_FIELDS[[#This Row],[FIELD_VALID_CUSTOM_LOGIC]]="",TRUE,DB_TBL_DATA_FIELDS[[#This Row],[FIELD_VALID_CUSTOM_LOGIC]]),DB_TBL_DATA_FIELDS[[#This Row],[RANGE_VALIDATION_PASSED_FLAG]])</f>
        <v>0</v>
      </c>
      <c r="M167" s="58"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67" s="83">
        <f ca="1">IF(DB_TBL_DATA_FIELDS[[#This Row],[SHEET_REF_CALC]]="","",IF(DB_TBL_DATA_FIELDS[[#This Row],[FIELD_EMPTY_FLAG]],IF(NOT(DB_TBL_DATA_FIELDS[[#This Row],[FIELD_REQ_FLAG]]),-1,1),IF(NOT(DB_TBL_DATA_FIELDS[[#This Row],[FIELD_VALID_FLAG]]),0,2)))</f>
        <v>-1</v>
      </c>
      <c r="O167" s="83" t="str">
        <f ca="1">IFERROR(VLOOKUP(DB_TBL_DATA_FIELDS[[#This Row],[FIELD_STATUS_CODE]],DB_TBL_CONFIG_FIELDSTATUSCODES[#All],3,FALSE),"")</f>
        <v>Optional</v>
      </c>
      <c r="P167" s="83" t="str">
        <f ca="1">IFERROR(VLOOKUP(DB_TBL_DATA_FIELDS[[#This Row],[FIELD_STATUS_CODE]],DB_TBL_CONFIG_FIELDSTATUSCODES[#All],4,FALSE),"")</f>
        <v xml:space="preserve"> </v>
      </c>
      <c r="Q167" s="83" t="b">
        <f>TRUE</f>
        <v>1</v>
      </c>
      <c r="R167" s="83" t="b">
        <f>TRUE</f>
        <v>1</v>
      </c>
      <c r="S167" s="32" t="s">
        <v>62</v>
      </c>
      <c r="T167" s="83">
        <f ca="1">IF(DB_TBL_DATA_FIELDS[[#This Row],[RANGE_VALIDATION_FLAG]]="Text",LEN(DB_TBL_DATA_FIELDS[[#This Row],[FIELD_VALUE_RAW]]),IFERROR(VALUE(DB_TBL_DATA_FIELDS[[#This Row],[FIELD_VALUE_RAW]]),-1))</f>
        <v>-1</v>
      </c>
      <c r="U167" s="83">
        <v>0</v>
      </c>
      <c r="V167" s="8">
        <v>999999999999</v>
      </c>
      <c r="W167" s="83" t="b">
        <f ca="1">IF(NOT(DB_TBL_DATA_FIELDS[[#This Row],[RANGE_VALIDATION_ON_FLAG]]),TRUE,
AND(DB_TBL_DATA_FIELDS[[#This Row],[RANGE_VALUE_LEN]]&gt;=DB_TBL_DATA_FIELDS[[#This Row],[RANGE_VALIDATION_MIN]],DB_TBL_DATA_FIELDS[[#This Row],[RANGE_VALUE_LEN]]&lt;=DB_TBL_DATA_FIELDS[[#This Row],[RANGE_VALIDATION_MAX]]))</f>
        <v>0</v>
      </c>
      <c r="X167" s="83">
        <v>1</v>
      </c>
      <c r="Y167" s="83">
        <f ca="1">IF(DB_TBL_DATA_FIELDS[[#This Row],[PCT_CALC_SHOW_STATUS_CODE]]=1,
DB_TBL_DATA_FIELDS[[#This Row],[FIELD_STATUS_CODE]],
IF(AND(DB_TBL_DATA_FIELDS[[#This Row],[PCT_CALC_SHOW_STATUS_CODE]]=2,DB_TBL_DATA_FIELDS[[#This Row],[FIELD_STATUS_CODE]]=0),
DB_TBL_DATA_FIELDS[[#This Row],[FIELD_STATUS_CODE]],
"")
)</f>
        <v>-1</v>
      </c>
      <c r="Z167" s="83"/>
      <c r="AA167" s="33" t="s">
        <v>2829</v>
      </c>
      <c r="AB167" s="33" t="s">
        <v>2840</v>
      </c>
      <c r="AC167" s="83"/>
    </row>
    <row r="168" spans="1:29" s="63" customFormat="1" x14ac:dyDescent="0.2">
      <c r="A168" s="4" t="s">
        <v>65</v>
      </c>
      <c r="B168" s="4" t="s">
        <v>64</v>
      </c>
      <c r="C168" s="16" t="str">
        <f ca="1">IF($H$10&lt;&gt;"R",IF(DB_TBL_DATA_FIELDS[[#This Row],[SHEET_REF_OWNER]]&lt;&gt;"",DB_TBL_DATA_FIELDS[[#This Row],[SHEET_REF_OWNER]],""),IF(DB_TBL_DATA_FIELDS[[#This Row],[SHEET_REF_RENTAL]]&lt;&gt;"",DB_TBL_DATA_FIELDS[[#This Row],[SHEET_REF_RENTAL]],""))</f>
        <v>RentalApp</v>
      </c>
      <c r="D168" s="32" t="s">
        <v>2784</v>
      </c>
      <c r="E168" s="91" t="b">
        <v>1</v>
      </c>
      <c r="F168" s="92" t="b">
        <v>0</v>
      </c>
      <c r="G168" s="94" t="s">
        <v>2807</v>
      </c>
      <c r="H168" s="56" t="str">
        <f ca="1">IF(AND(NOT(J169),NOT(J167),H167&gt;0),H169/H167,"")</f>
        <v/>
      </c>
      <c r="I168" s="58"/>
      <c r="J168" s="93" t="b">
        <f ca="1">(DB_TBL_DATA_FIELDS[[#This Row],[FIELD_VALUE_RAW]]="")</f>
        <v>1</v>
      </c>
      <c r="K168" s="94" t="s">
        <v>62</v>
      </c>
      <c r="L168" s="83" t="b">
        <f ca="1">AND(IF(DB_TBL_DATA_FIELDS[[#This Row],[FIELD_VALID_CUSTOM_LOGIC]]="",TRUE,DB_TBL_DATA_FIELDS[[#This Row],[FIELD_VALID_CUSTOM_LOGIC]]),DB_TBL_DATA_FIELDS[[#This Row],[RANGE_VALIDATION_PASSED_FLAG]])</f>
        <v>0</v>
      </c>
      <c r="M168" s="58"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68" s="83">
        <f ca="1">IF(DB_TBL_DATA_FIELDS[[#This Row],[SHEET_REF_CALC]]="","",IF(DB_TBL_DATA_FIELDS[[#This Row],[FIELD_EMPTY_FLAG]],IF(NOT(DB_TBL_DATA_FIELDS[[#This Row],[FIELD_REQ_FLAG]]),-1,1),IF(NOT(DB_TBL_DATA_FIELDS[[#This Row],[FIELD_VALID_FLAG]]),0,2)))</f>
        <v>-1</v>
      </c>
      <c r="O168" s="83" t="str">
        <f ca="1">IFERROR(VLOOKUP(DB_TBL_DATA_FIELDS[[#This Row],[FIELD_STATUS_CODE]],DB_TBL_CONFIG_FIELDSTATUSCODES[#All],3,FALSE),"")</f>
        <v>Optional</v>
      </c>
      <c r="P168" s="83" t="str">
        <f ca="1">IFERROR(VLOOKUP(DB_TBL_DATA_FIELDS[[#This Row],[FIELD_STATUS_CODE]],DB_TBL_CONFIG_FIELDSTATUSCODES[#All],4,FALSE),"")</f>
        <v xml:space="preserve"> </v>
      </c>
      <c r="Q168" s="83" t="b">
        <f>TRUE</f>
        <v>1</v>
      </c>
      <c r="R168" s="83" t="b">
        <f>TRUE</f>
        <v>1</v>
      </c>
      <c r="S168" s="32" t="s">
        <v>62</v>
      </c>
      <c r="T168" s="83">
        <f ca="1">IF(DB_TBL_DATA_FIELDS[[#This Row],[RANGE_VALIDATION_FLAG]]="Text",LEN(DB_TBL_DATA_FIELDS[[#This Row],[FIELD_VALUE_RAW]]),IFERROR(VALUE(DB_TBL_DATA_FIELDS[[#This Row],[FIELD_VALUE_RAW]]),-1))</f>
        <v>-1</v>
      </c>
      <c r="U168" s="83">
        <v>0</v>
      </c>
      <c r="V168" s="83">
        <v>1</v>
      </c>
      <c r="W168" s="83" t="b">
        <f ca="1">IF(NOT(DB_TBL_DATA_FIELDS[[#This Row],[RANGE_VALIDATION_ON_FLAG]]),TRUE,
AND(DB_TBL_DATA_FIELDS[[#This Row],[RANGE_VALUE_LEN]]&gt;=DB_TBL_DATA_FIELDS[[#This Row],[RANGE_VALIDATION_MIN]],DB_TBL_DATA_FIELDS[[#This Row],[RANGE_VALUE_LEN]]&lt;=DB_TBL_DATA_FIELDS[[#This Row],[RANGE_VALIDATION_MAX]]))</f>
        <v>0</v>
      </c>
      <c r="X168" s="83">
        <v>1</v>
      </c>
      <c r="Y168" s="83">
        <f ca="1">IF(DB_TBL_DATA_FIELDS[[#This Row],[PCT_CALC_SHOW_STATUS_CODE]]=1,
DB_TBL_DATA_FIELDS[[#This Row],[FIELD_STATUS_CODE]],
IF(AND(DB_TBL_DATA_FIELDS[[#This Row],[PCT_CALC_SHOW_STATUS_CODE]]=2,DB_TBL_DATA_FIELDS[[#This Row],[FIELD_STATUS_CODE]]=0),
DB_TBL_DATA_FIELDS[[#This Row],[FIELD_STATUS_CODE]],
"")
)</f>
        <v>-1</v>
      </c>
      <c r="Z168" s="83"/>
      <c r="AA168" s="33" t="s">
        <v>2830</v>
      </c>
      <c r="AB168" s="33" t="s">
        <v>2840</v>
      </c>
      <c r="AC168" s="83"/>
    </row>
    <row r="169" spans="1:29" s="63" customFormat="1" x14ac:dyDescent="0.2">
      <c r="A169" s="4" t="s">
        <v>65</v>
      </c>
      <c r="B169" s="4" t="s">
        <v>64</v>
      </c>
      <c r="C169" s="16" t="str">
        <f ca="1">IF($H$10&lt;&gt;"R",IF(DB_TBL_DATA_FIELDS[[#This Row],[SHEET_REF_OWNER]]&lt;&gt;"",DB_TBL_DATA_FIELDS[[#This Row],[SHEET_REF_OWNER]],""),IF(DB_TBL_DATA_FIELDS[[#This Row],[SHEET_REF_RENTAL]]&lt;&gt;"",DB_TBL_DATA_FIELDS[[#This Row],[SHEET_REF_RENTAL]],""))</f>
        <v>RentalApp</v>
      </c>
      <c r="D169" s="32" t="s">
        <v>2786</v>
      </c>
      <c r="E169" s="91" t="b">
        <v>0</v>
      </c>
      <c r="F169" s="84" t="b">
        <f ca="1">AND(($H$165&gt;0),NOT($J$165))</f>
        <v>0</v>
      </c>
      <c r="G169" s="94" t="s">
        <v>2808</v>
      </c>
      <c r="H169" s="29" t="str">
        <f ca="1">IFERROR(ROUND(VLOOKUP(DB_TBL_DATA_FIELDS[[#This Row],[FIELD_ID]],INDIRECT(DB_TBL_DATA_FIELDS[[#This Row],[SHEET_REF_CALC]]&amp;"!A:B"),2,FALSE),0),"")</f>
        <v/>
      </c>
      <c r="I169" s="29" t="str">
        <f ca="1">IF(DB_TBL_DATA_FIELDS[[#This Row],[FIELD_VALUE_RAW]]="","",DB_TBL_DATA_FIELDS[[#This Row],[FIELD_REQ_FLAG]])</f>
        <v/>
      </c>
      <c r="J169" s="93" t="b">
        <f ca="1">(DB_TBL_DATA_FIELDS[[#This Row],[FIELD_VALUE_RAW]]="")</f>
        <v>1</v>
      </c>
      <c r="K169" s="94" t="s">
        <v>62</v>
      </c>
      <c r="L169" s="83" t="b">
        <f ca="1">AND(IF(DB_TBL_DATA_FIELDS[[#This Row],[FIELD_VALID_CUSTOM_LOGIC]]="",TRUE,DB_TBL_DATA_FIELDS[[#This Row],[FIELD_VALID_CUSTOM_LOGIC]]),DB_TBL_DATA_FIELDS[[#This Row],[RANGE_VALIDATION_PASSED_FLAG]])</f>
        <v>0</v>
      </c>
      <c r="M169" s="58"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69" s="83">
        <f ca="1">IF(DB_TBL_DATA_FIELDS[[#This Row],[SHEET_REF_CALC]]="","",IF(DB_TBL_DATA_FIELDS[[#This Row],[FIELD_EMPTY_FLAG]],IF(NOT(DB_TBL_DATA_FIELDS[[#This Row],[FIELD_REQ_FLAG]]),-1,1),IF(NOT(DB_TBL_DATA_FIELDS[[#This Row],[FIELD_VALID_FLAG]]),0,2)))</f>
        <v>-1</v>
      </c>
      <c r="O169" s="83" t="str">
        <f ca="1">IFERROR(VLOOKUP(DB_TBL_DATA_FIELDS[[#This Row],[FIELD_STATUS_CODE]],DB_TBL_CONFIG_FIELDSTATUSCODES[#All],3,FALSE),"")</f>
        <v>Optional</v>
      </c>
      <c r="P169" s="83" t="str">
        <f ca="1">IFERROR(VLOOKUP(DB_TBL_DATA_FIELDS[[#This Row],[FIELD_STATUS_CODE]],DB_TBL_CONFIG_FIELDSTATUSCODES[#All],4,FALSE),"")</f>
        <v xml:space="preserve"> </v>
      </c>
      <c r="Q169" s="83" t="b">
        <f>TRUE</f>
        <v>1</v>
      </c>
      <c r="R169" s="83" t="b">
        <f>TRUE</f>
        <v>1</v>
      </c>
      <c r="S169" s="32" t="s">
        <v>62</v>
      </c>
      <c r="T169" s="83">
        <f ca="1">IF(DB_TBL_DATA_FIELDS[[#This Row],[RANGE_VALIDATION_FLAG]]="Text",LEN(DB_TBL_DATA_FIELDS[[#This Row],[FIELD_VALUE_RAW]]),IFERROR(VALUE(DB_TBL_DATA_FIELDS[[#This Row],[FIELD_VALUE_RAW]]),-1))</f>
        <v>-1</v>
      </c>
      <c r="U169" s="83">
        <v>0</v>
      </c>
      <c r="V169" s="8">
        <v>999999999999</v>
      </c>
      <c r="W169" s="83" t="b">
        <f ca="1">IF(NOT(DB_TBL_DATA_FIELDS[[#This Row],[RANGE_VALIDATION_ON_FLAG]]),TRUE,
AND(DB_TBL_DATA_FIELDS[[#This Row],[RANGE_VALUE_LEN]]&gt;=DB_TBL_DATA_FIELDS[[#This Row],[RANGE_VALIDATION_MIN]],DB_TBL_DATA_FIELDS[[#This Row],[RANGE_VALUE_LEN]]&lt;=DB_TBL_DATA_FIELDS[[#This Row],[RANGE_VALIDATION_MAX]]))</f>
        <v>0</v>
      </c>
      <c r="X169" s="83">
        <v>1</v>
      </c>
      <c r="Y169" s="83">
        <f ca="1">IF(DB_TBL_DATA_FIELDS[[#This Row],[PCT_CALC_SHOW_STATUS_CODE]]=1,
DB_TBL_DATA_FIELDS[[#This Row],[FIELD_STATUS_CODE]],
IF(AND(DB_TBL_DATA_FIELDS[[#This Row],[PCT_CALC_SHOW_STATUS_CODE]]=2,DB_TBL_DATA_FIELDS[[#This Row],[FIELD_STATUS_CODE]]=0),
DB_TBL_DATA_FIELDS[[#This Row],[FIELD_STATUS_CODE]],
"")
)</f>
        <v>-1</v>
      </c>
      <c r="Z169" s="83"/>
      <c r="AA169" s="33" t="s">
        <v>2831</v>
      </c>
      <c r="AB169" s="33" t="s">
        <v>2840</v>
      </c>
      <c r="AC169" s="83"/>
    </row>
    <row r="170" spans="1:29" s="63" customFormat="1" x14ac:dyDescent="0.2">
      <c r="A170" s="4" t="s">
        <v>65</v>
      </c>
      <c r="B170" s="4" t="s">
        <v>64</v>
      </c>
      <c r="C170" s="16" t="str">
        <f ca="1">IF($H$10&lt;&gt;"R",IF(DB_TBL_DATA_FIELDS[[#This Row],[SHEET_REF_OWNER]]&lt;&gt;"",DB_TBL_DATA_FIELDS[[#This Row],[SHEET_REF_OWNER]],""),IF(DB_TBL_DATA_FIELDS[[#This Row],[SHEET_REF_RENTAL]]&lt;&gt;"",DB_TBL_DATA_FIELDS[[#This Row],[SHEET_REF_RENTAL]],""))</f>
        <v>RentalApp</v>
      </c>
      <c r="D170" s="32" t="s">
        <v>2787</v>
      </c>
      <c r="E170" s="91" t="b">
        <v>0</v>
      </c>
      <c r="F170" s="84" t="b">
        <f ca="1">AND(($H$165&gt;0),NOT($J$165))</f>
        <v>0</v>
      </c>
      <c r="G170" s="94" t="s">
        <v>2809</v>
      </c>
      <c r="H170" s="58" t="str">
        <f ca="1">IFERROR(VLOOKUP(DB_TBL_DATA_FIELDS[[#This Row],[FIELD_ID]],INDIRECT(DB_TBL_DATA_FIELDS[[#This Row],[SHEET_REF_CALC]]&amp;"!A:B"),2,FALSE),"")</f>
        <v/>
      </c>
      <c r="I170" s="29" t="str">
        <f ca="1">IF(DB_TBL_DATA_FIELDS[[#This Row],[FIELD_VALUE_RAW]]="","",DB_TBL_DATA_FIELDS[[#This Row],[FIELD_REQ_FLAG]])</f>
        <v/>
      </c>
      <c r="J170" s="93" t="b">
        <f ca="1">(DB_TBL_DATA_FIELDS[[#This Row],[FIELD_VALUE_RAW]]="")</f>
        <v>1</v>
      </c>
      <c r="K170" s="94" t="s">
        <v>11</v>
      </c>
      <c r="L170" s="83" t="b">
        <f ca="1">AND(IF(DB_TBL_DATA_FIELDS[[#This Row],[FIELD_VALID_CUSTOM_LOGIC]]="",TRUE,DB_TBL_DATA_FIELDS[[#This Row],[FIELD_VALID_CUSTOM_LOGIC]]),DB_TBL_DATA_FIELDS[[#This Row],[RANGE_VALIDATION_PASSED_FLAG]])</f>
        <v>1</v>
      </c>
      <c r="M170" s="58"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70" s="83">
        <f ca="1">IF(DB_TBL_DATA_FIELDS[[#This Row],[SHEET_REF_CALC]]="","",IF(DB_TBL_DATA_FIELDS[[#This Row],[FIELD_EMPTY_FLAG]],IF(NOT(DB_TBL_DATA_FIELDS[[#This Row],[FIELD_REQ_FLAG]]),-1,1),IF(NOT(DB_TBL_DATA_FIELDS[[#This Row],[FIELD_VALID_FLAG]]),0,2)))</f>
        <v>-1</v>
      </c>
      <c r="O170" s="83" t="str">
        <f ca="1">IFERROR(VLOOKUP(DB_TBL_DATA_FIELDS[[#This Row],[FIELD_STATUS_CODE]],DB_TBL_CONFIG_FIELDSTATUSCODES[#All],3,FALSE),"")</f>
        <v>Optional</v>
      </c>
      <c r="P170" s="83" t="str">
        <f ca="1">IFERROR(VLOOKUP(DB_TBL_DATA_FIELDS[[#This Row],[FIELD_STATUS_CODE]],DB_TBL_CONFIG_FIELDSTATUSCODES[#All],4,FALSE),"")</f>
        <v xml:space="preserve"> </v>
      </c>
      <c r="Q170" s="83" t="b">
        <f>TRUE</f>
        <v>1</v>
      </c>
      <c r="R170" s="83" t="b">
        <f>TRUE</f>
        <v>1</v>
      </c>
      <c r="S170" s="32" t="s">
        <v>11</v>
      </c>
      <c r="T170" s="83">
        <f ca="1">IF(DB_TBL_DATA_FIELDS[[#This Row],[RANGE_VALIDATION_FLAG]]="Text",LEN(DB_TBL_DATA_FIELDS[[#This Row],[FIELD_VALUE_RAW]]),IFERROR(VALUE(DB_TBL_DATA_FIELDS[[#This Row],[FIELD_VALUE_RAW]]),-1))</f>
        <v>0</v>
      </c>
      <c r="U170" s="83">
        <v>0</v>
      </c>
      <c r="V170" s="83">
        <v>32767</v>
      </c>
      <c r="W170" s="83" t="b">
        <f ca="1">IF(NOT(DB_TBL_DATA_FIELDS[[#This Row],[RANGE_VALIDATION_ON_FLAG]]),TRUE,
AND(DB_TBL_DATA_FIELDS[[#This Row],[RANGE_VALUE_LEN]]&gt;=DB_TBL_DATA_FIELDS[[#This Row],[RANGE_VALIDATION_MIN]],DB_TBL_DATA_FIELDS[[#This Row],[RANGE_VALUE_LEN]]&lt;=DB_TBL_DATA_FIELDS[[#This Row],[RANGE_VALIDATION_MAX]]))</f>
        <v>1</v>
      </c>
      <c r="X170" s="83">
        <v>1</v>
      </c>
      <c r="Y170" s="83">
        <f ca="1">IF(DB_TBL_DATA_FIELDS[[#This Row],[PCT_CALC_SHOW_STATUS_CODE]]=1,
DB_TBL_DATA_FIELDS[[#This Row],[FIELD_STATUS_CODE]],
IF(AND(DB_TBL_DATA_FIELDS[[#This Row],[PCT_CALC_SHOW_STATUS_CODE]]=2,DB_TBL_DATA_FIELDS[[#This Row],[FIELD_STATUS_CODE]]=0),
DB_TBL_DATA_FIELDS[[#This Row],[FIELD_STATUS_CODE]],
"")
)</f>
        <v>-1</v>
      </c>
      <c r="Z170" s="83"/>
      <c r="AA170" s="33" t="s">
        <v>2832</v>
      </c>
      <c r="AB170" s="33" t="s">
        <v>2840</v>
      </c>
      <c r="AC170" s="83"/>
    </row>
    <row r="171" spans="1:29" s="63" customFormat="1" x14ac:dyDescent="0.2">
      <c r="A171" s="4" t="s">
        <v>65</v>
      </c>
      <c r="B171" s="4" t="s">
        <v>64</v>
      </c>
      <c r="C171" s="16" t="str">
        <f ca="1">IF($H$10&lt;&gt;"R",IF(DB_TBL_DATA_FIELDS[[#This Row],[SHEET_REF_OWNER]]&lt;&gt;"",DB_TBL_DATA_FIELDS[[#This Row],[SHEET_REF_OWNER]],""),IF(DB_TBL_DATA_FIELDS[[#This Row],[SHEET_REF_RENTAL]]&lt;&gt;"",DB_TBL_DATA_FIELDS[[#This Row],[SHEET_REF_RENTAL]],""))</f>
        <v>RentalApp</v>
      </c>
      <c r="D171" s="32" t="s">
        <v>2788</v>
      </c>
      <c r="E171" s="91" t="b">
        <v>0</v>
      </c>
      <c r="F171" s="84" t="b">
        <f ca="1">AND(($H$165&gt;0),NOT($J$165))</f>
        <v>0</v>
      </c>
      <c r="G171" s="94" t="s">
        <v>2861</v>
      </c>
      <c r="H171" s="58" t="str">
        <f ca="1">IFERROR(VLOOKUP(DB_TBL_DATA_FIELDS[[#This Row],[FIELD_ID]],INDIRECT(DB_TBL_DATA_FIELDS[[#This Row],[SHEET_REF_CALC]]&amp;"!A:B"),2,FALSE),"")</f>
        <v/>
      </c>
      <c r="I171" s="29" t="str">
        <f ca="1">IF(DB_TBL_DATA_FIELDS[[#This Row],[FIELD_VALUE_RAW]]="","",DB_TBL_DATA_FIELDS[[#This Row],[FIELD_REQ_FLAG]])</f>
        <v/>
      </c>
      <c r="J171" s="93" t="b">
        <f ca="1">(DB_TBL_DATA_FIELDS[[#This Row],[FIELD_VALUE_RAW]]="")</f>
        <v>1</v>
      </c>
      <c r="K171" s="94" t="s">
        <v>11</v>
      </c>
      <c r="L171" s="83" t="b">
        <f ca="1">AND(IF(DB_TBL_DATA_FIELDS[[#This Row],[FIELD_VALID_CUSTOM_LOGIC]]="",TRUE,DB_TBL_DATA_FIELDS[[#This Row],[FIELD_VALID_CUSTOM_LOGIC]]),DB_TBL_DATA_FIELDS[[#This Row],[RANGE_VALIDATION_PASSED_FLAG]])</f>
        <v>1</v>
      </c>
      <c r="M171" s="58"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71" s="83">
        <f ca="1">IF(DB_TBL_DATA_FIELDS[[#This Row],[SHEET_REF_CALC]]="","",IF(DB_TBL_DATA_FIELDS[[#This Row],[FIELD_EMPTY_FLAG]],IF(NOT(DB_TBL_DATA_FIELDS[[#This Row],[FIELD_REQ_FLAG]]),-1,1),IF(NOT(DB_TBL_DATA_FIELDS[[#This Row],[FIELD_VALID_FLAG]]),0,2)))</f>
        <v>-1</v>
      </c>
      <c r="O171" s="83" t="str">
        <f ca="1">IFERROR(VLOOKUP(DB_TBL_DATA_FIELDS[[#This Row],[FIELD_STATUS_CODE]],DB_TBL_CONFIG_FIELDSTATUSCODES[#All],3,FALSE),"")</f>
        <v>Optional</v>
      </c>
      <c r="P171" s="83" t="str">
        <f ca="1">IFERROR(VLOOKUP(DB_TBL_DATA_FIELDS[[#This Row],[FIELD_STATUS_CODE]],DB_TBL_CONFIG_FIELDSTATUSCODES[#All],4,FALSE),"")</f>
        <v xml:space="preserve"> </v>
      </c>
      <c r="Q171" s="83" t="b">
        <f>TRUE</f>
        <v>1</v>
      </c>
      <c r="R171" s="83" t="b">
        <f>TRUE</f>
        <v>1</v>
      </c>
      <c r="S171" s="32" t="s">
        <v>11</v>
      </c>
      <c r="T171" s="83">
        <f ca="1">IF(DB_TBL_DATA_FIELDS[[#This Row],[RANGE_VALIDATION_FLAG]]="Text",LEN(DB_TBL_DATA_FIELDS[[#This Row],[FIELD_VALUE_RAW]]),IFERROR(VALUE(DB_TBL_DATA_FIELDS[[#This Row],[FIELD_VALUE_RAW]]),-1))</f>
        <v>0</v>
      </c>
      <c r="U171" s="83">
        <v>0</v>
      </c>
      <c r="V171" s="83">
        <v>32767</v>
      </c>
      <c r="W171" s="83" t="b">
        <f ca="1">IF(NOT(DB_TBL_DATA_FIELDS[[#This Row],[RANGE_VALIDATION_ON_FLAG]]),TRUE,
AND(DB_TBL_DATA_FIELDS[[#This Row],[RANGE_VALUE_LEN]]&gt;=DB_TBL_DATA_FIELDS[[#This Row],[RANGE_VALIDATION_MIN]],DB_TBL_DATA_FIELDS[[#This Row],[RANGE_VALUE_LEN]]&lt;=DB_TBL_DATA_FIELDS[[#This Row],[RANGE_VALIDATION_MAX]]))</f>
        <v>1</v>
      </c>
      <c r="X171" s="83">
        <v>1</v>
      </c>
      <c r="Y171" s="83">
        <f ca="1">IF(DB_TBL_DATA_FIELDS[[#This Row],[PCT_CALC_SHOW_STATUS_CODE]]=1,
DB_TBL_DATA_FIELDS[[#This Row],[FIELD_STATUS_CODE]],
IF(AND(DB_TBL_DATA_FIELDS[[#This Row],[PCT_CALC_SHOW_STATUS_CODE]]=2,DB_TBL_DATA_FIELDS[[#This Row],[FIELD_STATUS_CODE]]=0),
DB_TBL_DATA_FIELDS[[#This Row],[FIELD_STATUS_CODE]],
"")
)</f>
        <v>-1</v>
      </c>
      <c r="Z171" s="83"/>
      <c r="AA171" s="33" t="s">
        <v>2833</v>
      </c>
      <c r="AB171" s="33" t="s">
        <v>2840</v>
      </c>
      <c r="AC171" s="83"/>
    </row>
    <row r="172" spans="1:29" s="63" customFormat="1" x14ac:dyDescent="0.2">
      <c r="A172" s="4" t="s">
        <v>65</v>
      </c>
      <c r="B172" s="4" t="s">
        <v>64</v>
      </c>
      <c r="C172" s="16" t="str">
        <f ca="1">IF($H$10&lt;&gt;"R",IF(DB_TBL_DATA_FIELDS[[#This Row],[SHEET_REF_OWNER]]&lt;&gt;"",DB_TBL_DATA_FIELDS[[#This Row],[SHEET_REF_OWNER]],""),IF(DB_TBL_DATA_FIELDS[[#This Row],[SHEET_REF_RENTAL]]&lt;&gt;"",DB_TBL_DATA_FIELDS[[#This Row],[SHEET_REF_RENTAL]],""))</f>
        <v>RentalApp</v>
      </c>
      <c r="D172" s="32" t="s">
        <v>2859</v>
      </c>
      <c r="E172" s="32" t="b">
        <v>0</v>
      </c>
      <c r="F172" s="41" t="b">
        <v>0</v>
      </c>
      <c r="G172" s="94" t="s">
        <v>2860</v>
      </c>
      <c r="H172" s="61" t="str">
        <f ca="1">IF(OR(J170,J171,J165,H165=0),"",EDATE(H170,-6)&lt;=H171)</f>
        <v/>
      </c>
      <c r="I172" s="29" t="str">
        <f ca="1">IF(DB_TBL_DATA_FIELDS[[#This Row],[FIELD_VALUE_RAW]]="","",DB_TBL_DATA_FIELDS[[#This Row],[FIELD_VALUE_RAW]])</f>
        <v/>
      </c>
      <c r="J172" s="94" t="b">
        <f ca="1">(DB_TBL_DATA_FIELDS[[#This Row],[FIELD_VALUE_RAW]]="")</f>
        <v>1</v>
      </c>
      <c r="K172" s="94" t="s">
        <v>209</v>
      </c>
      <c r="L172" s="34" t="b">
        <f ca="1">AND(IF(DB_TBL_DATA_FIELDS[[#This Row],[FIELD_VALID_CUSTOM_LOGIC]]="",TRUE,DB_TBL_DATA_FIELDS[[#This Row],[FIELD_VALID_CUSTOM_LOGIC]]),DB_TBL_DATA_FIELDS[[#This Row],[RANGE_VALIDATION_PASSED_FLAG]])</f>
        <v>1</v>
      </c>
      <c r="M172" s="3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72" s="34">
        <f ca="1">IF(DB_TBL_DATA_FIELDS[[#This Row],[SHEET_REF_CALC]]="","",IF(DB_TBL_DATA_FIELDS[[#This Row],[FIELD_EMPTY_FLAG]],IF(NOT(DB_TBL_DATA_FIELDS[[#This Row],[FIELD_REQ_FLAG]]),-1,1),IF(NOT(DB_TBL_DATA_FIELDS[[#This Row],[FIELD_VALID_FLAG]]),0,2)))</f>
        <v>-1</v>
      </c>
      <c r="O172" s="34" t="str">
        <f ca="1">IFERROR(VLOOKUP(DB_TBL_DATA_FIELDS[[#This Row],[FIELD_STATUS_CODE]],DB_TBL_CONFIG_FIELDSTATUSCODES[#All],3,FALSE),"")</f>
        <v>Optional</v>
      </c>
      <c r="P172" s="34" t="str">
        <f ca="1">IFERROR(VLOOKUP(DB_TBL_DATA_FIELDS[[#This Row],[FIELD_STATUS_CODE]],DB_TBL_CONFIG_FIELDSTATUSCODES[#All],4,FALSE),"")</f>
        <v xml:space="preserve"> </v>
      </c>
      <c r="Q172" s="34" t="b">
        <f>TRUE</f>
        <v>1</v>
      </c>
      <c r="R172" s="34" t="b">
        <v>0</v>
      </c>
      <c r="S172" s="32"/>
      <c r="T172" s="34">
        <f ca="1">IF(DB_TBL_DATA_FIELDS[[#This Row],[RANGE_VALIDATION_FLAG]]="Text",LEN(DB_TBL_DATA_FIELDS[[#This Row],[FIELD_VALUE_RAW]]),IFERROR(VALUE(DB_TBL_DATA_FIELDS[[#This Row],[FIELD_VALUE_RAW]]),-1))</f>
        <v>-1</v>
      </c>
      <c r="U172" s="34">
        <v>0</v>
      </c>
      <c r="V172" s="34">
        <v>1</v>
      </c>
      <c r="W172" s="34" t="b">
        <f>IF(NOT(DB_TBL_DATA_FIELDS[[#This Row],[RANGE_VALIDATION_ON_FLAG]]),TRUE,
AND(DB_TBL_DATA_FIELDS[[#This Row],[RANGE_VALUE_LEN]]&gt;=DB_TBL_DATA_FIELDS[[#This Row],[RANGE_VALIDATION_MIN]],DB_TBL_DATA_FIELDS[[#This Row],[RANGE_VALUE_LEN]]&lt;=DB_TBL_DATA_FIELDS[[#This Row],[RANGE_VALIDATION_MAX]]))</f>
        <v>1</v>
      </c>
      <c r="X172" s="34">
        <v>0</v>
      </c>
      <c r="Y172" s="34" t="str">
        <f ca="1">IF(DB_TBL_DATA_FIELDS[[#This Row],[PCT_CALC_SHOW_STATUS_CODE]]=1,
DB_TBL_DATA_FIELDS[[#This Row],[FIELD_STATUS_CODE]],
IF(AND(DB_TBL_DATA_FIELDS[[#This Row],[PCT_CALC_SHOW_STATUS_CODE]]=2,DB_TBL_DATA_FIELDS[[#This Row],[FIELD_STATUS_CODE]]=0),
DB_TBL_DATA_FIELDS[[#This Row],[FIELD_STATUS_CODE]],
"")
)</f>
        <v/>
      </c>
      <c r="Z172" s="101" t="str">
        <f ca="1">IF(DB_TBL_DATA_FIELDS[[#This Row],[FIELD_VALUE_RAW]]="","",IF(NOT(DB_TBL_DATA_FIELDS[[#This Row],[FIELD_VALID_CUSTOM_LOGIC]]),"Appraisal Not Within Six Months of Acquisition",""))</f>
        <v/>
      </c>
      <c r="AA172" s="33" t="s">
        <v>2862</v>
      </c>
      <c r="AB172" s="33" t="s">
        <v>2840</v>
      </c>
      <c r="AC172" s="34" t="s">
        <v>2863</v>
      </c>
    </row>
    <row r="173" spans="1:29" s="63" customFormat="1" x14ac:dyDescent="0.2">
      <c r="A173" s="4" t="s">
        <v>65</v>
      </c>
      <c r="B173" s="4" t="s">
        <v>64</v>
      </c>
      <c r="C173" s="16" t="str">
        <f ca="1">IF($H$10&lt;&gt;"R",IF(DB_TBL_DATA_FIELDS[[#This Row],[SHEET_REF_OWNER]]&lt;&gt;"",DB_TBL_DATA_FIELDS[[#This Row],[SHEET_REF_OWNER]],""),IF(DB_TBL_DATA_FIELDS[[#This Row],[SHEET_REF_RENTAL]]&lt;&gt;"",DB_TBL_DATA_FIELDS[[#This Row],[SHEET_REF_RENTAL]],""))</f>
        <v>RentalApp</v>
      </c>
      <c r="D173" s="32" t="s">
        <v>2789</v>
      </c>
      <c r="E173" s="91" t="b">
        <v>1</v>
      </c>
      <c r="F173" s="84" t="b">
        <f t="shared" ref="F173:F178" ca="1" si="2">NOT(AND(OR(DONATED_UNITS="",DONATED_UNITS=0),OR(FEDACQUIRED_UNITS="",FEDACQUIRED_UNITS=0),OR(UNDERFMV_UNITS="",UNDERFMV_UNITS=0)))</f>
        <v>0</v>
      </c>
      <c r="G173" s="94" t="s">
        <v>2810</v>
      </c>
      <c r="H173" s="58" t="str">
        <f ca="1">IFERROR(VLOOKUP(DB_TBL_DATA_FIELDS[[#This Row],[FIELD_ID]],INDIRECT(DB_TBL_DATA_FIELDS[[#This Row],[SHEET_REF_CALC]]&amp;"!A:B"),2,FALSE),"")</f>
        <v/>
      </c>
      <c r="I173" s="56" t="str">
        <f ca="1">IF(DB_TBL_DATA_FIELDS[[#This Row],[FIELD_EMPTY_FLAG]],"",DB_TBL_DATA_FIELDS[[#This Row],[FIELD_REQ_FLAG]])</f>
        <v/>
      </c>
      <c r="J173" s="93" t="b">
        <f ca="1">(DB_TBL_DATA_FIELDS[[#This Row],[FIELD_VALUE_RAW]]="")</f>
        <v>1</v>
      </c>
      <c r="K173" s="94" t="s">
        <v>209</v>
      </c>
      <c r="L173" s="83" t="b">
        <f ca="1">AND(IF(DB_TBL_DATA_FIELDS[[#This Row],[FIELD_VALID_CUSTOM_LOGIC]]="",TRUE,DB_TBL_DATA_FIELDS[[#This Row],[FIELD_VALID_CUSTOM_LOGIC]]),DB_TBL_DATA_FIELDS[[#This Row],[RANGE_VALIDATION_PASSED_FLAG]])</f>
        <v>1</v>
      </c>
      <c r="M173" s="58"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73" s="83">
        <f ca="1">IF(DB_TBL_DATA_FIELDS[[#This Row],[SHEET_REF_CALC]]="","",IF(DB_TBL_DATA_FIELDS[[#This Row],[FIELD_EMPTY_FLAG]],IF(NOT(DB_TBL_DATA_FIELDS[[#This Row],[FIELD_REQ_FLAG]]),-1,1),IF(NOT(DB_TBL_DATA_FIELDS[[#This Row],[FIELD_VALID_FLAG]]),0,2)))</f>
        <v>-1</v>
      </c>
      <c r="O173" s="83" t="str">
        <f ca="1">IFERROR(VLOOKUP(DB_TBL_DATA_FIELDS[[#This Row],[FIELD_STATUS_CODE]],DB_TBL_CONFIG_FIELDSTATUSCODES[#All],3,FALSE),"")</f>
        <v>Optional</v>
      </c>
      <c r="P173" s="83" t="str">
        <f ca="1">IFERROR(VLOOKUP(DB_TBL_DATA_FIELDS[[#This Row],[FIELD_STATUS_CODE]],DB_TBL_CONFIG_FIELDSTATUSCODES[#All],4,FALSE),"")</f>
        <v xml:space="preserve"> </v>
      </c>
      <c r="Q173" s="83" t="b">
        <f>TRUE</f>
        <v>1</v>
      </c>
      <c r="R173" s="83" t="b">
        <v>0</v>
      </c>
      <c r="S173" s="91"/>
      <c r="T173" s="83">
        <f ca="1">IF(DB_TBL_DATA_FIELDS[[#This Row],[RANGE_VALIDATION_FLAG]]="Text",LEN(DB_TBL_DATA_FIELDS[[#This Row],[FIELD_VALUE_RAW]]),IFERROR(VALUE(DB_TBL_DATA_FIELDS[[#This Row],[FIELD_VALUE_RAW]]),-1))</f>
        <v>-1</v>
      </c>
      <c r="U173" s="83">
        <v>0</v>
      </c>
      <c r="V173" s="83">
        <v>1</v>
      </c>
      <c r="W173" s="83" t="b">
        <f>IF(NOT(DB_TBL_DATA_FIELDS[[#This Row],[RANGE_VALIDATION_ON_FLAG]]),TRUE,
AND(DB_TBL_DATA_FIELDS[[#This Row],[RANGE_VALUE_LEN]]&gt;=DB_TBL_DATA_FIELDS[[#This Row],[RANGE_VALIDATION_MIN]],DB_TBL_DATA_FIELDS[[#This Row],[RANGE_VALUE_LEN]]&lt;=DB_TBL_DATA_FIELDS[[#This Row],[RANGE_VALIDATION_MAX]]))</f>
        <v>1</v>
      </c>
      <c r="X173" s="83">
        <v>1</v>
      </c>
      <c r="Y173" s="83">
        <f ca="1">IF(DB_TBL_DATA_FIELDS[[#This Row],[PCT_CALC_SHOW_STATUS_CODE]]=1,
DB_TBL_DATA_FIELDS[[#This Row],[FIELD_STATUS_CODE]],
IF(AND(DB_TBL_DATA_FIELDS[[#This Row],[PCT_CALC_SHOW_STATUS_CODE]]=2,DB_TBL_DATA_FIELDS[[#This Row],[FIELD_STATUS_CODE]]=0),
DB_TBL_DATA_FIELDS[[#This Row],[FIELD_STATUS_CODE]],
"")
)</f>
        <v>-1</v>
      </c>
      <c r="Z173" s="83"/>
      <c r="AA173" s="33" t="s">
        <v>2834</v>
      </c>
      <c r="AB173" s="33" t="s">
        <v>2840</v>
      </c>
      <c r="AC173" s="83"/>
    </row>
    <row r="174" spans="1:29" s="63" customFormat="1" x14ac:dyDescent="0.2">
      <c r="A174" s="4" t="s">
        <v>65</v>
      </c>
      <c r="B174" s="4" t="s">
        <v>64</v>
      </c>
      <c r="C174" s="16" t="str">
        <f ca="1">IF($H$10&lt;&gt;"R",IF(DB_TBL_DATA_FIELDS[[#This Row],[SHEET_REF_OWNER]]&lt;&gt;"",DB_TBL_DATA_FIELDS[[#This Row],[SHEET_REF_OWNER]],""),IF(DB_TBL_DATA_FIELDS[[#This Row],[SHEET_REF_RENTAL]]&lt;&gt;"",DB_TBL_DATA_FIELDS[[#This Row],[SHEET_REF_RENTAL]],""))</f>
        <v>RentalApp</v>
      </c>
      <c r="D174" s="32" t="s">
        <v>2812</v>
      </c>
      <c r="E174" s="91" t="b">
        <v>1</v>
      </c>
      <c r="F174" s="84" t="b">
        <f t="shared" ca="1" si="2"/>
        <v>0</v>
      </c>
      <c r="G174" s="94" t="s">
        <v>2811</v>
      </c>
      <c r="H174" s="58" t="str">
        <f ca="1">IFERROR(VLOOKUP(DB_TBL_DATA_FIELDS[[#This Row],[FIELD_ID]],INDIRECT(DB_TBL_DATA_FIELDS[[#This Row],[SHEET_REF_CALC]]&amp;"!A:B"),2,FALSE),"")</f>
        <v/>
      </c>
      <c r="I174" s="56" t="str">
        <f ca="1">IF(DB_TBL_DATA_FIELDS[[#This Row],[FIELD_EMPTY_FLAG]],"",DB_TBL_DATA_FIELDS[[#This Row],[FIELD_REQ_FLAG]])</f>
        <v/>
      </c>
      <c r="J174" s="93" t="b">
        <f ca="1">(DB_TBL_DATA_FIELDS[[#This Row],[FIELD_VALUE_RAW]]="")</f>
        <v>1</v>
      </c>
      <c r="K174" s="94" t="s">
        <v>209</v>
      </c>
      <c r="L174" s="83" t="b">
        <f ca="1">AND(IF(DB_TBL_DATA_FIELDS[[#This Row],[FIELD_VALID_CUSTOM_LOGIC]]="",TRUE,DB_TBL_DATA_FIELDS[[#This Row],[FIELD_VALID_CUSTOM_LOGIC]]),DB_TBL_DATA_FIELDS[[#This Row],[RANGE_VALIDATION_PASSED_FLAG]])</f>
        <v>1</v>
      </c>
      <c r="M174" s="58"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74" s="83">
        <f ca="1">IF(DB_TBL_DATA_FIELDS[[#This Row],[SHEET_REF_CALC]]="","",IF(DB_TBL_DATA_FIELDS[[#This Row],[FIELD_EMPTY_FLAG]],IF(NOT(DB_TBL_DATA_FIELDS[[#This Row],[FIELD_REQ_FLAG]]),-1,1),IF(NOT(DB_TBL_DATA_FIELDS[[#This Row],[FIELD_VALID_FLAG]]),0,2)))</f>
        <v>-1</v>
      </c>
      <c r="O174" s="83" t="str">
        <f ca="1">IFERROR(VLOOKUP(DB_TBL_DATA_FIELDS[[#This Row],[FIELD_STATUS_CODE]],DB_TBL_CONFIG_FIELDSTATUSCODES[#All],3,FALSE),"")</f>
        <v>Optional</v>
      </c>
      <c r="P174" s="83" t="str">
        <f ca="1">IFERROR(VLOOKUP(DB_TBL_DATA_FIELDS[[#This Row],[FIELD_STATUS_CODE]],DB_TBL_CONFIG_FIELDSTATUSCODES[#All],4,FALSE),"")</f>
        <v xml:space="preserve"> </v>
      </c>
      <c r="Q174" s="83" t="b">
        <f>TRUE</f>
        <v>1</v>
      </c>
      <c r="R174" s="83" t="b">
        <v>0</v>
      </c>
      <c r="S174" s="91"/>
      <c r="T174" s="83">
        <f ca="1">IF(DB_TBL_DATA_FIELDS[[#This Row],[RANGE_VALIDATION_FLAG]]="Text",LEN(DB_TBL_DATA_FIELDS[[#This Row],[FIELD_VALUE_RAW]]),IFERROR(VALUE(DB_TBL_DATA_FIELDS[[#This Row],[FIELD_VALUE_RAW]]),-1))</f>
        <v>-1</v>
      </c>
      <c r="U174" s="83">
        <v>0</v>
      </c>
      <c r="V174" s="83">
        <v>1</v>
      </c>
      <c r="W174" s="83" t="b">
        <f>IF(NOT(DB_TBL_DATA_FIELDS[[#This Row],[RANGE_VALIDATION_ON_FLAG]]),TRUE,
AND(DB_TBL_DATA_FIELDS[[#This Row],[RANGE_VALUE_LEN]]&gt;=DB_TBL_DATA_FIELDS[[#This Row],[RANGE_VALIDATION_MIN]],DB_TBL_DATA_FIELDS[[#This Row],[RANGE_VALUE_LEN]]&lt;=DB_TBL_DATA_FIELDS[[#This Row],[RANGE_VALIDATION_MAX]]))</f>
        <v>1</v>
      </c>
      <c r="X174" s="83">
        <v>1</v>
      </c>
      <c r="Y174" s="83">
        <f ca="1">IF(DB_TBL_DATA_FIELDS[[#This Row],[PCT_CALC_SHOW_STATUS_CODE]]=1,
DB_TBL_DATA_FIELDS[[#This Row],[FIELD_STATUS_CODE]],
IF(AND(DB_TBL_DATA_FIELDS[[#This Row],[PCT_CALC_SHOW_STATUS_CODE]]=2,DB_TBL_DATA_FIELDS[[#This Row],[FIELD_STATUS_CODE]]=0),
DB_TBL_DATA_FIELDS[[#This Row],[FIELD_STATUS_CODE]],
"")
)</f>
        <v>-1</v>
      </c>
      <c r="Z174" s="83"/>
      <c r="AA174" s="33" t="s">
        <v>2835</v>
      </c>
      <c r="AB174" s="33" t="s">
        <v>2840</v>
      </c>
      <c r="AC174" s="83"/>
    </row>
    <row r="175" spans="1:29" s="63" customFormat="1" x14ac:dyDescent="0.2">
      <c r="A175" s="4" t="s">
        <v>65</v>
      </c>
      <c r="B175" s="4" t="s">
        <v>64</v>
      </c>
      <c r="C175" s="16" t="str">
        <f ca="1">IF($H$10&lt;&gt;"R",IF(DB_TBL_DATA_FIELDS[[#This Row],[SHEET_REF_OWNER]]&lt;&gt;"",DB_TBL_DATA_FIELDS[[#This Row],[SHEET_REF_OWNER]],""),IF(DB_TBL_DATA_FIELDS[[#This Row],[SHEET_REF_RENTAL]]&lt;&gt;"",DB_TBL_DATA_FIELDS[[#This Row],[SHEET_REF_RENTAL]],""))</f>
        <v>RentalApp</v>
      </c>
      <c r="D175" s="32" t="s">
        <v>2790</v>
      </c>
      <c r="E175" s="91" t="b">
        <v>1</v>
      </c>
      <c r="F175" s="84" t="b">
        <f t="shared" ca="1" si="2"/>
        <v>0</v>
      </c>
      <c r="G175" s="94" t="s">
        <v>2813</v>
      </c>
      <c r="H175" s="58" t="str">
        <f ca="1">IFERROR(VLOOKUP(DB_TBL_DATA_FIELDS[[#This Row],[FIELD_ID]],INDIRECT(DB_TBL_DATA_FIELDS[[#This Row],[SHEET_REF_CALC]]&amp;"!A:B"),2,FALSE),"")</f>
        <v/>
      </c>
      <c r="I175" s="56" t="str">
        <f ca="1">IF(DB_TBL_DATA_FIELDS[[#This Row],[FIELD_EMPTY_FLAG]],"",DB_TBL_DATA_FIELDS[[#This Row],[FIELD_REQ_FLAG]])</f>
        <v/>
      </c>
      <c r="J175" s="93" t="b">
        <f ca="1">(DB_TBL_DATA_FIELDS[[#This Row],[FIELD_VALUE_RAW]]="")</f>
        <v>1</v>
      </c>
      <c r="K175" s="94" t="s">
        <v>209</v>
      </c>
      <c r="L175" s="83" t="b">
        <f ca="1">AND(IF(DB_TBL_DATA_FIELDS[[#This Row],[FIELD_VALID_CUSTOM_LOGIC]]="",TRUE,DB_TBL_DATA_FIELDS[[#This Row],[FIELD_VALID_CUSTOM_LOGIC]]),DB_TBL_DATA_FIELDS[[#This Row],[RANGE_VALIDATION_PASSED_FLAG]])</f>
        <v>1</v>
      </c>
      <c r="M175" s="58"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75" s="83">
        <f ca="1">IF(DB_TBL_DATA_FIELDS[[#This Row],[SHEET_REF_CALC]]="","",IF(DB_TBL_DATA_FIELDS[[#This Row],[FIELD_EMPTY_FLAG]],IF(NOT(DB_TBL_DATA_FIELDS[[#This Row],[FIELD_REQ_FLAG]]),-1,1),IF(NOT(DB_TBL_DATA_FIELDS[[#This Row],[FIELD_VALID_FLAG]]),0,2)))</f>
        <v>-1</v>
      </c>
      <c r="O175" s="83" t="str">
        <f ca="1">IFERROR(VLOOKUP(DB_TBL_DATA_FIELDS[[#This Row],[FIELD_STATUS_CODE]],DB_TBL_CONFIG_FIELDSTATUSCODES[#All],3,FALSE),"")</f>
        <v>Optional</v>
      </c>
      <c r="P175" s="83" t="str">
        <f ca="1">IFERROR(VLOOKUP(DB_TBL_DATA_FIELDS[[#This Row],[FIELD_STATUS_CODE]],DB_TBL_CONFIG_FIELDSTATUSCODES[#All],4,FALSE),"")</f>
        <v xml:space="preserve"> </v>
      </c>
      <c r="Q175" s="83" t="b">
        <f>TRUE</f>
        <v>1</v>
      </c>
      <c r="R175" s="83" t="b">
        <v>0</v>
      </c>
      <c r="S175" s="91"/>
      <c r="T175" s="83">
        <f ca="1">IF(DB_TBL_DATA_FIELDS[[#This Row],[RANGE_VALIDATION_FLAG]]="Text",LEN(DB_TBL_DATA_FIELDS[[#This Row],[FIELD_VALUE_RAW]]),IFERROR(VALUE(DB_TBL_DATA_FIELDS[[#This Row],[FIELD_VALUE_RAW]]),-1))</f>
        <v>-1</v>
      </c>
      <c r="U175" s="83">
        <v>0</v>
      </c>
      <c r="V175" s="83">
        <v>1</v>
      </c>
      <c r="W175" s="83" t="b">
        <f>IF(NOT(DB_TBL_DATA_FIELDS[[#This Row],[RANGE_VALIDATION_ON_FLAG]]),TRUE,
AND(DB_TBL_DATA_FIELDS[[#This Row],[RANGE_VALUE_LEN]]&gt;=DB_TBL_DATA_FIELDS[[#This Row],[RANGE_VALIDATION_MIN]],DB_TBL_DATA_FIELDS[[#This Row],[RANGE_VALUE_LEN]]&lt;=DB_TBL_DATA_FIELDS[[#This Row],[RANGE_VALIDATION_MAX]]))</f>
        <v>1</v>
      </c>
      <c r="X175" s="83">
        <v>1</v>
      </c>
      <c r="Y175" s="83">
        <f ca="1">IF(DB_TBL_DATA_FIELDS[[#This Row],[PCT_CALC_SHOW_STATUS_CODE]]=1,
DB_TBL_DATA_FIELDS[[#This Row],[FIELD_STATUS_CODE]],
IF(AND(DB_TBL_DATA_FIELDS[[#This Row],[PCT_CALC_SHOW_STATUS_CODE]]=2,DB_TBL_DATA_FIELDS[[#This Row],[FIELD_STATUS_CODE]]=0),
DB_TBL_DATA_FIELDS[[#This Row],[FIELD_STATUS_CODE]],
"")
)</f>
        <v>-1</v>
      </c>
      <c r="Z175" s="83"/>
      <c r="AA175" s="33" t="s">
        <v>2836</v>
      </c>
      <c r="AB175" s="33" t="s">
        <v>2840</v>
      </c>
      <c r="AC175" s="83"/>
    </row>
    <row r="176" spans="1:29" s="63" customFormat="1" x14ac:dyDescent="0.2">
      <c r="A176" s="4" t="s">
        <v>65</v>
      </c>
      <c r="B176" s="4" t="s">
        <v>64</v>
      </c>
      <c r="C176" s="16" t="str">
        <f ca="1">IF($H$10&lt;&gt;"R",IF(DB_TBL_DATA_FIELDS[[#This Row],[SHEET_REF_OWNER]]&lt;&gt;"",DB_TBL_DATA_FIELDS[[#This Row],[SHEET_REF_OWNER]],""),IF(DB_TBL_DATA_FIELDS[[#This Row],[SHEET_REF_RENTAL]]&lt;&gt;"",DB_TBL_DATA_FIELDS[[#This Row],[SHEET_REF_RENTAL]],""))</f>
        <v>RentalApp</v>
      </c>
      <c r="D176" s="32" t="s">
        <v>2791</v>
      </c>
      <c r="E176" s="91" t="b">
        <v>1</v>
      </c>
      <c r="F176" s="84" t="b">
        <f t="shared" ca="1" si="2"/>
        <v>0</v>
      </c>
      <c r="G176" s="94" t="s">
        <v>2814</v>
      </c>
      <c r="H176" s="58" t="str">
        <f ca="1">IFERROR(VLOOKUP(DB_TBL_DATA_FIELDS[[#This Row],[FIELD_ID]],INDIRECT(DB_TBL_DATA_FIELDS[[#This Row],[SHEET_REF_CALC]]&amp;"!A:B"),2,FALSE),"")</f>
        <v/>
      </c>
      <c r="I176" s="56" t="str">
        <f ca="1">IF(DB_TBL_DATA_FIELDS[[#This Row],[FIELD_EMPTY_FLAG]],"",DB_TBL_DATA_FIELDS[[#This Row],[FIELD_REQ_FLAG]])</f>
        <v/>
      </c>
      <c r="J176" s="93" t="b">
        <f ca="1">(DB_TBL_DATA_FIELDS[[#This Row],[FIELD_VALUE_RAW]]="")</f>
        <v>1</v>
      </c>
      <c r="K176" s="94" t="s">
        <v>209</v>
      </c>
      <c r="L176" s="83" t="b">
        <f ca="1">AND(IF(DB_TBL_DATA_FIELDS[[#This Row],[FIELD_VALID_CUSTOM_LOGIC]]="",TRUE,DB_TBL_DATA_FIELDS[[#This Row],[FIELD_VALID_CUSTOM_LOGIC]]),DB_TBL_DATA_FIELDS[[#This Row],[RANGE_VALIDATION_PASSED_FLAG]])</f>
        <v>1</v>
      </c>
      <c r="M176" s="58"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76" s="83">
        <f ca="1">IF(DB_TBL_DATA_FIELDS[[#This Row],[SHEET_REF_CALC]]="","",IF(DB_TBL_DATA_FIELDS[[#This Row],[FIELD_EMPTY_FLAG]],IF(NOT(DB_TBL_DATA_FIELDS[[#This Row],[FIELD_REQ_FLAG]]),-1,1),IF(NOT(DB_TBL_DATA_FIELDS[[#This Row],[FIELD_VALID_FLAG]]),0,2)))</f>
        <v>-1</v>
      </c>
      <c r="O176" s="83" t="str">
        <f ca="1">IFERROR(VLOOKUP(DB_TBL_DATA_FIELDS[[#This Row],[FIELD_STATUS_CODE]],DB_TBL_CONFIG_FIELDSTATUSCODES[#All],3,FALSE),"")</f>
        <v>Optional</v>
      </c>
      <c r="P176" s="83" t="str">
        <f ca="1">IFERROR(VLOOKUP(DB_TBL_DATA_FIELDS[[#This Row],[FIELD_STATUS_CODE]],DB_TBL_CONFIG_FIELDSTATUSCODES[#All],4,FALSE),"")</f>
        <v xml:space="preserve"> </v>
      </c>
      <c r="Q176" s="83" t="b">
        <f>TRUE</f>
        <v>1</v>
      </c>
      <c r="R176" s="83" t="b">
        <v>0</v>
      </c>
      <c r="S176" s="91"/>
      <c r="T176" s="83">
        <f ca="1">IF(DB_TBL_DATA_FIELDS[[#This Row],[RANGE_VALIDATION_FLAG]]="Text",LEN(DB_TBL_DATA_FIELDS[[#This Row],[FIELD_VALUE_RAW]]),IFERROR(VALUE(DB_TBL_DATA_FIELDS[[#This Row],[FIELD_VALUE_RAW]]),-1))</f>
        <v>-1</v>
      </c>
      <c r="U176" s="83">
        <v>0</v>
      </c>
      <c r="V176" s="83">
        <v>1</v>
      </c>
      <c r="W176" s="83" t="b">
        <f>IF(NOT(DB_TBL_DATA_FIELDS[[#This Row],[RANGE_VALIDATION_ON_FLAG]]),TRUE,
AND(DB_TBL_DATA_FIELDS[[#This Row],[RANGE_VALUE_LEN]]&gt;=DB_TBL_DATA_FIELDS[[#This Row],[RANGE_VALIDATION_MIN]],DB_TBL_DATA_FIELDS[[#This Row],[RANGE_VALUE_LEN]]&lt;=DB_TBL_DATA_FIELDS[[#This Row],[RANGE_VALIDATION_MAX]]))</f>
        <v>1</v>
      </c>
      <c r="X176" s="83">
        <v>1</v>
      </c>
      <c r="Y176" s="83">
        <f ca="1">IF(DB_TBL_DATA_FIELDS[[#This Row],[PCT_CALC_SHOW_STATUS_CODE]]=1,
DB_TBL_DATA_FIELDS[[#This Row],[FIELD_STATUS_CODE]],
IF(AND(DB_TBL_DATA_FIELDS[[#This Row],[PCT_CALC_SHOW_STATUS_CODE]]=2,DB_TBL_DATA_FIELDS[[#This Row],[FIELD_STATUS_CODE]]=0),
DB_TBL_DATA_FIELDS[[#This Row],[FIELD_STATUS_CODE]],
"")
)</f>
        <v>-1</v>
      </c>
      <c r="Z176" s="83"/>
      <c r="AA176" s="33" t="s">
        <v>2837</v>
      </c>
      <c r="AB176" s="33" t="s">
        <v>2840</v>
      </c>
      <c r="AC176" s="83"/>
    </row>
    <row r="177" spans="1:29" s="63" customFormat="1" x14ac:dyDescent="0.2">
      <c r="A177" s="4" t="s">
        <v>65</v>
      </c>
      <c r="B177" s="4" t="s">
        <v>64</v>
      </c>
      <c r="C177" s="16" t="str">
        <f ca="1">IF($H$10&lt;&gt;"R",IF(DB_TBL_DATA_FIELDS[[#This Row],[SHEET_REF_OWNER]]&lt;&gt;"",DB_TBL_DATA_FIELDS[[#This Row],[SHEET_REF_OWNER]],""),IF(DB_TBL_DATA_FIELDS[[#This Row],[SHEET_REF_RENTAL]]&lt;&gt;"",DB_TBL_DATA_FIELDS[[#This Row],[SHEET_REF_RENTAL]],""))</f>
        <v>RentalApp</v>
      </c>
      <c r="D177" s="32" t="s">
        <v>2792</v>
      </c>
      <c r="E177" s="91" t="b">
        <v>1</v>
      </c>
      <c r="F177" s="84" t="b">
        <f t="shared" ca="1" si="2"/>
        <v>0</v>
      </c>
      <c r="G177" s="94" t="s">
        <v>2815</v>
      </c>
      <c r="H177" s="58" t="str">
        <f ca="1">IFERROR(VLOOKUP(DB_TBL_DATA_FIELDS[[#This Row],[FIELD_ID]],INDIRECT(DB_TBL_DATA_FIELDS[[#This Row],[SHEET_REF_CALC]]&amp;"!A:B"),2,FALSE),"")</f>
        <v/>
      </c>
      <c r="I177" s="56" t="str">
        <f ca="1">IF(DB_TBL_DATA_FIELDS[[#This Row],[FIELD_EMPTY_FLAG]],"",DB_TBL_DATA_FIELDS[[#This Row],[FIELD_REQ_FLAG]])</f>
        <v/>
      </c>
      <c r="J177" s="93" t="b">
        <f ca="1">(DB_TBL_DATA_FIELDS[[#This Row],[FIELD_VALUE_RAW]]="")</f>
        <v>1</v>
      </c>
      <c r="K177" s="94" t="s">
        <v>209</v>
      </c>
      <c r="L177" s="83" t="b">
        <f ca="1">AND(IF(DB_TBL_DATA_FIELDS[[#This Row],[FIELD_VALID_CUSTOM_LOGIC]]="",TRUE,DB_TBL_DATA_FIELDS[[#This Row],[FIELD_VALID_CUSTOM_LOGIC]]),DB_TBL_DATA_FIELDS[[#This Row],[RANGE_VALIDATION_PASSED_FLAG]])</f>
        <v>1</v>
      </c>
      <c r="M177" s="58"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77" s="83">
        <f ca="1">IF(DB_TBL_DATA_FIELDS[[#This Row],[SHEET_REF_CALC]]="","",IF(DB_TBL_DATA_FIELDS[[#This Row],[FIELD_EMPTY_FLAG]],IF(NOT(DB_TBL_DATA_FIELDS[[#This Row],[FIELD_REQ_FLAG]]),-1,1),IF(NOT(DB_TBL_DATA_FIELDS[[#This Row],[FIELD_VALID_FLAG]]),0,2)))</f>
        <v>-1</v>
      </c>
      <c r="O177" s="83" t="str">
        <f ca="1">IFERROR(VLOOKUP(DB_TBL_DATA_FIELDS[[#This Row],[FIELD_STATUS_CODE]],DB_TBL_CONFIG_FIELDSTATUSCODES[#All],3,FALSE),"")</f>
        <v>Optional</v>
      </c>
      <c r="P177" s="83" t="str">
        <f ca="1">IFERROR(VLOOKUP(DB_TBL_DATA_FIELDS[[#This Row],[FIELD_STATUS_CODE]],DB_TBL_CONFIG_FIELDSTATUSCODES[#All],4,FALSE),"")</f>
        <v xml:space="preserve"> </v>
      </c>
      <c r="Q177" s="83" t="b">
        <f>TRUE</f>
        <v>1</v>
      </c>
      <c r="R177" s="83" t="b">
        <v>0</v>
      </c>
      <c r="S177" s="91"/>
      <c r="T177" s="83">
        <f ca="1">IF(DB_TBL_DATA_FIELDS[[#This Row],[RANGE_VALIDATION_FLAG]]="Text",LEN(DB_TBL_DATA_FIELDS[[#This Row],[FIELD_VALUE_RAW]]),IFERROR(VALUE(DB_TBL_DATA_FIELDS[[#This Row],[FIELD_VALUE_RAW]]),-1))</f>
        <v>-1</v>
      </c>
      <c r="U177" s="83">
        <v>0</v>
      </c>
      <c r="V177" s="83">
        <v>1</v>
      </c>
      <c r="W177" s="83" t="b">
        <f>IF(NOT(DB_TBL_DATA_FIELDS[[#This Row],[RANGE_VALIDATION_ON_FLAG]]),TRUE,
AND(DB_TBL_DATA_FIELDS[[#This Row],[RANGE_VALUE_LEN]]&gt;=DB_TBL_DATA_FIELDS[[#This Row],[RANGE_VALIDATION_MIN]],DB_TBL_DATA_FIELDS[[#This Row],[RANGE_VALUE_LEN]]&lt;=DB_TBL_DATA_FIELDS[[#This Row],[RANGE_VALIDATION_MAX]]))</f>
        <v>1</v>
      </c>
      <c r="X177" s="83">
        <v>1</v>
      </c>
      <c r="Y177" s="83">
        <f ca="1">IF(DB_TBL_DATA_FIELDS[[#This Row],[PCT_CALC_SHOW_STATUS_CODE]]=1,
DB_TBL_DATA_FIELDS[[#This Row],[FIELD_STATUS_CODE]],
IF(AND(DB_TBL_DATA_FIELDS[[#This Row],[PCT_CALC_SHOW_STATUS_CODE]]=2,DB_TBL_DATA_FIELDS[[#This Row],[FIELD_STATUS_CODE]]=0),
DB_TBL_DATA_FIELDS[[#This Row],[FIELD_STATUS_CODE]],
"")
)</f>
        <v>-1</v>
      </c>
      <c r="Z177" s="83"/>
      <c r="AA177" s="33" t="s">
        <v>2838</v>
      </c>
      <c r="AB177" s="33" t="s">
        <v>2840</v>
      </c>
      <c r="AC177" s="83"/>
    </row>
    <row r="178" spans="1:29" ht="13.5" thickBot="1" x14ac:dyDescent="0.25">
      <c r="A178" s="67" t="s">
        <v>65</v>
      </c>
      <c r="B178" s="67" t="s">
        <v>64</v>
      </c>
      <c r="C178" s="69" t="str">
        <f ca="1">IF($H$10&lt;&gt;"R",IF(DB_TBL_DATA_FIELDS[[#This Row],[SHEET_REF_OWNER]]&lt;&gt;"",DB_TBL_DATA_FIELDS[[#This Row],[SHEET_REF_OWNER]],""),IF(DB_TBL_DATA_FIELDS[[#This Row],[SHEET_REF_RENTAL]]&lt;&gt;"",DB_TBL_DATA_FIELDS[[#This Row],[SHEET_REF_RENTAL]],""))</f>
        <v>RentalApp</v>
      </c>
      <c r="D178" s="65" t="s">
        <v>2793</v>
      </c>
      <c r="E178" s="95" t="b">
        <v>1</v>
      </c>
      <c r="F178" s="90" t="b">
        <f t="shared" ca="1" si="2"/>
        <v>0</v>
      </c>
      <c r="G178" s="96" t="s">
        <v>2816</v>
      </c>
      <c r="H178" s="97" t="str">
        <f ca="1">IFERROR(VLOOKUP(DB_TBL_DATA_FIELDS[[#This Row],[FIELD_ID]],INDIRECT(DB_TBL_DATA_FIELDS[[#This Row],[SHEET_REF_CALC]]&amp;"!A:B"),2,FALSE),"")</f>
        <v/>
      </c>
      <c r="I178" s="118" t="str">
        <f ca="1">IF(DB_TBL_DATA_FIELDS[[#This Row],[FIELD_EMPTY_FLAG]],"",DB_TBL_DATA_FIELDS[[#This Row],[FIELD_REQ_FLAG]])</f>
        <v/>
      </c>
      <c r="J178" s="98" t="b">
        <f ca="1">(DB_TBL_DATA_FIELDS[[#This Row],[FIELD_VALUE_RAW]]="")</f>
        <v>1</v>
      </c>
      <c r="K178" s="96" t="s">
        <v>209</v>
      </c>
      <c r="L178" s="99" t="b">
        <f ca="1">AND(IF(DB_TBL_DATA_FIELDS[[#This Row],[FIELD_VALID_CUSTOM_LOGIC]]="",TRUE,DB_TBL_DATA_FIELDS[[#This Row],[FIELD_VALID_CUSTOM_LOGIC]]),DB_TBL_DATA_FIELDS[[#This Row],[RANGE_VALIDATION_PASSED_FLAG]])</f>
        <v>1</v>
      </c>
      <c r="M178" s="97"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78" s="99">
        <f ca="1">IF(DB_TBL_DATA_FIELDS[[#This Row],[SHEET_REF_CALC]]="","",IF(DB_TBL_DATA_FIELDS[[#This Row],[FIELD_EMPTY_FLAG]],IF(NOT(DB_TBL_DATA_FIELDS[[#This Row],[FIELD_REQ_FLAG]]),-1,1),IF(NOT(DB_TBL_DATA_FIELDS[[#This Row],[FIELD_VALID_FLAG]]),0,2)))</f>
        <v>-1</v>
      </c>
      <c r="O178" s="99" t="str">
        <f ca="1">IFERROR(VLOOKUP(DB_TBL_DATA_FIELDS[[#This Row],[FIELD_STATUS_CODE]],DB_TBL_CONFIG_FIELDSTATUSCODES[#All],3,FALSE),"")</f>
        <v>Optional</v>
      </c>
      <c r="P178" s="99" t="str">
        <f ca="1">IFERROR(VLOOKUP(DB_TBL_DATA_FIELDS[[#This Row],[FIELD_STATUS_CODE]],DB_TBL_CONFIG_FIELDSTATUSCODES[#All],4,FALSE),"")</f>
        <v xml:space="preserve"> </v>
      </c>
      <c r="Q178" s="99" t="b">
        <f>TRUE</f>
        <v>1</v>
      </c>
      <c r="R178" s="99" t="b">
        <v>0</v>
      </c>
      <c r="S178" s="95"/>
      <c r="T178" s="99">
        <f ca="1">IF(DB_TBL_DATA_FIELDS[[#This Row],[RANGE_VALIDATION_FLAG]]="Text",LEN(DB_TBL_DATA_FIELDS[[#This Row],[FIELD_VALUE_RAW]]),IFERROR(VALUE(DB_TBL_DATA_FIELDS[[#This Row],[FIELD_VALUE_RAW]]),-1))</f>
        <v>-1</v>
      </c>
      <c r="U178" s="99">
        <v>0</v>
      </c>
      <c r="V178" s="99">
        <v>1</v>
      </c>
      <c r="W178" s="99" t="b">
        <f>IF(NOT(DB_TBL_DATA_FIELDS[[#This Row],[RANGE_VALIDATION_ON_FLAG]]),TRUE,
AND(DB_TBL_DATA_FIELDS[[#This Row],[RANGE_VALUE_LEN]]&gt;=DB_TBL_DATA_FIELDS[[#This Row],[RANGE_VALIDATION_MIN]],DB_TBL_DATA_FIELDS[[#This Row],[RANGE_VALUE_LEN]]&lt;=DB_TBL_DATA_FIELDS[[#This Row],[RANGE_VALIDATION_MAX]]))</f>
        <v>1</v>
      </c>
      <c r="X178" s="99">
        <v>1</v>
      </c>
      <c r="Y178" s="99">
        <f ca="1">IF(DB_TBL_DATA_FIELDS[[#This Row],[PCT_CALC_SHOW_STATUS_CODE]]=1,
DB_TBL_DATA_FIELDS[[#This Row],[FIELD_STATUS_CODE]],
IF(AND(DB_TBL_DATA_FIELDS[[#This Row],[PCT_CALC_SHOW_STATUS_CODE]]=2,DB_TBL_DATA_FIELDS[[#This Row],[FIELD_STATUS_CODE]]=0),
DB_TBL_DATA_FIELDS[[#This Row],[FIELD_STATUS_CODE]],
"")
)</f>
        <v>-1</v>
      </c>
      <c r="Z178" s="99"/>
      <c r="AA178" s="100" t="s">
        <v>2839</v>
      </c>
      <c r="AB178" s="100" t="s">
        <v>2840</v>
      </c>
      <c r="AC178" s="99"/>
    </row>
    <row r="179" spans="1:29" x14ac:dyDescent="0.2">
      <c r="A179" s="4" t="s">
        <v>65</v>
      </c>
      <c r="B179" s="4" t="s">
        <v>64</v>
      </c>
      <c r="C179" s="16" t="str">
        <f ca="1">IF($H$10&lt;&gt;"R",IF(DB_TBL_DATA_FIELDS[[#This Row],[SHEET_REF_OWNER]]&lt;&gt;"",DB_TBL_DATA_FIELDS[[#This Row],[SHEET_REF_OWNER]],""),IF(DB_TBL_DATA_FIELDS[[#This Row],[SHEET_REF_RENTAL]]&lt;&gt;"",DB_TBL_DATA_FIELDS[[#This Row],[SHEET_REF_RENTAL]],""))</f>
        <v>RentalApp</v>
      </c>
      <c r="D179" s="4" t="s">
        <v>2874</v>
      </c>
      <c r="E179" s="91" t="b">
        <v>1</v>
      </c>
      <c r="F179" s="25" t="b">
        <v>1</v>
      </c>
      <c r="G179" s="6" t="s">
        <v>2898</v>
      </c>
      <c r="H179" s="56" t="str">
        <f ca="1">IF(DB_TBL_DATA_FIELDS[[#This Row],[SHEET_REF_CALC]]="OwnerApp",IF(SUM(H181:H192)&gt;0,SUM(H181:H192),""),IFERROR(VLOOKUP(DB_TBL_DATA_FIELDS[[#This Row],[FIELD_ID]],INDIRECT(DB_TBL_DATA_FIELDS[[#This Row],[SHEET_REF_CALC]]&amp;"!A:B"),2,FALSE),""))</f>
        <v/>
      </c>
      <c r="I179" s="29" t="str">
        <f ca="1">IF(AND(NOT(DB_TBL_DATA_FIELDS[[#This Row],[FIELD_EMPTY_FLAG]]),NOT(J180),NOT(J206)),DB_TBL_DATA_FIELDS[[#This Row],[FIELD_VALUE_RAW]]=SUM(H180,H206),"")</f>
        <v/>
      </c>
      <c r="J179" s="6" t="b">
        <f ca="1">(DB_TBL_DATA_FIELDS[[#This Row],[FIELD_VALUE_RAW]]="")</f>
        <v>1</v>
      </c>
      <c r="K179" s="6" t="s">
        <v>62</v>
      </c>
      <c r="L179" s="8" t="b">
        <f ca="1">AND(IF(DB_TBL_DATA_FIELDS[[#This Row],[FIELD_VALID_CUSTOM_LOGIC]]="",TRUE,DB_TBL_DATA_FIELDS[[#This Row],[FIELD_VALID_CUSTOM_LOGIC]]),DB_TBL_DATA_FIELDS[[#This Row],[RANGE_VALIDATION_PASSED_FLAG]])</f>
        <v>0</v>
      </c>
      <c r="M179"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79" s="8">
        <f ca="1">IF(DB_TBL_DATA_FIELDS[[#This Row],[SHEET_REF_CALC]]="","",IF(DB_TBL_DATA_FIELDS[[#This Row],[FIELD_EMPTY_FLAG]],IF(NOT(DB_TBL_DATA_FIELDS[[#This Row],[FIELD_REQ_FLAG]]),-1,1),IF(NOT(DB_TBL_DATA_FIELDS[[#This Row],[FIELD_VALID_FLAG]]),0,2)))</f>
        <v>1</v>
      </c>
      <c r="O179" s="8" t="str">
        <f ca="1">IFERROR(VLOOKUP(DB_TBL_DATA_FIELDS[[#This Row],[FIELD_STATUS_CODE]],DB_TBL_CONFIG_FIELDSTATUSCODES[#All],3,FALSE),"")</f>
        <v>Required</v>
      </c>
      <c r="P179" s="8" t="str">
        <f ca="1">IFERROR(VLOOKUP(DB_TBL_DATA_FIELDS[[#This Row],[FIELD_STATUS_CODE]],DB_TBL_CONFIG_FIELDSTATUSCODES[#All],4,FALSE),"")</f>
        <v>i</v>
      </c>
      <c r="Q179" s="8" t="b">
        <f>TRUE</f>
        <v>1</v>
      </c>
      <c r="R179" s="8" t="b">
        <f>TRUE</f>
        <v>1</v>
      </c>
      <c r="S179" s="4" t="s">
        <v>62</v>
      </c>
      <c r="T179" s="8">
        <f ca="1">IF(DB_TBL_DATA_FIELDS[[#This Row],[RANGE_VALIDATION_FLAG]]="Text",LEN(DB_TBL_DATA_FIELDS[[#This Row],[FIELD_VALUE_RAW]]),IFERROR(VALUE(DB_TBL_DATA_FIELDS[[#This Row],[FIELD_VALUE_RAW]]),-1))</f>
        <v>-1</v>
      </c>
      <c r="U179" s="8">
        <v>1</v>
      </c>
      <c r="V179" s="8">
        <v>999999999999</v>
      </c>
      <c r="W179" s="8" t="b">
        <f ca="1">IF(NOT(DB_TBL_DATA_FIELDS[[#This Row],[RANGE_VALIDATION_ON_FLAG]]),TRUE,
AND(DB_TBL_DATA_FIELDS[[#This Row],[RANGE_VALUE_LEN]]&gt;=DB_TBL_DATA_FIELDS[[#This Row],[RANGE_VALIDATION_MIN]],DB_TBL_DATA_FIELDS[[#This Row],[RANGE_VALUE_LEN]]&lt;=DB_TBL_DATA_FIELDS[[#This Row],[RANGE_VALIDATION_MAX]]))</f>
        <v>0</v>
      </c>
      <c r="X179" s="8">
        <v>1</v>
      </c>
      <c r="Y179" s="8">
        <f ca="1">IF(DB_TBL_DATA_FIELDS[[#This Row],[PCT_CALC_SHOW_STATUS_CODE]]=1,
DB_TBL_DATA_FIELDS[[#This Row],[FIELD_STATUS_CODE]],
IF(AND(DB_TBL_DATA_FIELDS[[#This Row],[PCT_CALC_SHOW_STATUS_CODE]]=2,DB_TBL_DATA_FIELDS[[#This Row],[FIELD_STATUS_CODE]]=0),
DB_TBL_DATA_FIELDS[[#This Row],[FIELD_STATUS_CODE]],
"")
)</f>
        <v>1</v>
      </c>
      <c r="Z179" s="101" t="str">
        <f ca="1">IF(DB_TBL_DATA_FIELDS[[#This Row],[FIELD_VALID_CUSTOM_LOGIC]]="","",IF(NOT(DB_TBL_DATA_FIELDS[[#This Row],[FIELD_VALID_CUSTOM_LOGIC]]),"Must Equal Sum of Income and Non-Income Restricted Units",""))</f>
        <v/>
      </c>
      <c r="AA179" s="11" t="s">
        <v>2922</v>
      </c>
      <c r="AB179" s="11" t="s">
        <v>2873</v>
      </c>
      <c r="AC179" s="8"/>
    </row>
    <row r="180" spans="1:29" x14ac:dyDescent="0.2">
      <c r="A180" s="4"/>
      <c r="B180" s="4" t="s">
        <v>64</v>
      </c>
      <c r="C180" s="16" t="str">
        <f ca="1">IF($H$10&lt;&gt;"R",IF(DB_TBL_DATA_FIELDS[[#This Row],[SHEET_REF_OWNER]]&lt;&gt;"",DB_TBL_DATA_FIELDS[[#This Row],[SHEET_REF_OWNER]],""),IF(DB_TBL_DATA_FIELDS[[#This Row],[SHEET_REF_RENTAL]]&lt;&gt;"",DB_TBL_DATA_FIELDS[[#This Row],[SHEET_REF_RENTAL]],""))</f>
        <v>RentalApp</v>
      </c>
      <c r="D180" s="89" t="s">
        <v>2876</v>
      </c>
      <c r="E180" s="1" t="b">
        <v>0</v>
      </c>
      <c r="F180" s="23" t="b">
        <v>1</v>
      </c>
      <c r="G180" s="6" t="s">
        <v>2899</v>
      </c>
      <c r="H180" s="58" t="str">
        <f ca="1">IFERROR(VLOOKUP(DB_TBL_DATA_FIELDS[[#This Row],[FIELD_ID]],INDIRECT(DB_TBL_DATA_FIELDS[[#This Row],[SHEET_REF_CALC]]&amp;"!A:B"),2,FALSE),"")</f>
        <v/>
      </c>
      <c r="I180" s="29" t="str">
        <f ca="1">IF(DB_TBL_DATA_FIELDS[[#This Row],[FIELD_EMPTY_FLAG]],"",DB_TBL_DATA_FIELDS[[#This Row],[FIELD_VALUE_RAW]]&lt;=DATA_TOTAL_UNITS)</f>
        <v/>
      </c>
      <c r="J180" s="6" t="b">
        <f ca="1">(DB_TBL_DATA_FIELDS[[#This Row],[FIELD_VALUE_RAW]]="")</f>
        <v>1</v>
      </c>
      <c r="K180" s="6" t="s">
        <v>62</v>
      </c>
      <c r="L180" s="8" t="b">
        <f ca="1">AND(IF(DB_TBL_DATA_FIELDS[[#This Row],[FIELD_VALID_CUSTOM_LOGIC]]="",TRUE,DB_TBL_DATA_FIELDS[[#This Row],[FIELD_VALID_CUSTOM_LOGIC]]),DB_TBL_DATA_FIELDS[[#This Row],[RANGE_VALIDATION_PASSED_FLAG]])</f>
        <v>0</v>
      </c>
      <c r="M180"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80" s="8">
        <f ca="1">IF(DB_TBL_DATA_FIELDS[[#This Row],[SHEET_REF_CALC]]="","",IF(DB_TBL_DATA_FIELDS[[#This Row],[FIELD_EMPTY_FLAG]],IF(NOT(DB_TBL_DATA_FIELDS[[#This Row],[FIELD_REQ_FLAG]]),-1,1),IF(NOT(DB_TBL_DATA_FIELDS[[#This Row],[FIELD_VALID_FLAG]]),0,2)))</f>
        <v>1</v>
      </c>
      <c r="O180" s="8" t="str">
        <f ca="1">IFERROR(VLOOKUP(DB_TBL_DATA_FIELDS[[#This Row],[FIELD_STATUS_CODE]],DB_TBL_CONFIG_FIELDSTATUSCODES[#All],3,FALSE),"")</f>
        <v>Required</v>
      </c>
      <c r="P180" s="8" t="str">
        <f ca="1">IFERROR(VLOOKUP(DB_TBL_DATA_FIELDS[[#This Row],[FIELD_STATUS_CODE]],DB_TBL_CONFIG_FIELDSTATUSCODES[#All],4,FALSE),"")</f>
        <v>i</v>
      </c>
      <c r="Q180" s="8" t="b">
        <f>TRUE</f>
        <v>1</v>
      </c>
      <c r="R180" s="8" t="b">
        <f>TRUE</f>
        <v>1</v>
      </c>
      <c r="S180" s="4" t="s">
        <v>62</v>
      </c>
      <c r="T180" s="8">
        <f ca="1">IF(DB_TBL_DATA_FIELDS[[#This Row],[RANGE_VALIDATION_FLAG]]="Text",LEN(DB_TBL_DATA_FIELDS[[#This Row],[FIELD_VALUE_RAW]]),IFERROR(VALUE(DB_TBL_DATA_FIELDS[[#This Row],[FIELD_VALUE_RAW]]),-1))</f>
        <v>-1</v>
      </c>
      <c r="U180" s="8">
        <v>0</v>
      </c>
      <c r="V180" s="8">
        <v>999999999999</v>
      </c>
      <c r="W180" s="8" t="b">
        <f ca="1">IF(NOT(DB_TBL_DATA_FIELDS[[#This Row],[RANGE_VALIDATION_ON_FLAG]]),TRUE,
AND(DB_TBL_DATA_FIELDS[[#This Row],[RANGE_VALUE_LEN]]&gt;=DB_TBL_DATA_FIELDS[[#This Row],[RANGE_VALIDATION_MIN]],DB_TBL_DATA_FIELDS[[#This Row],[RANGE_VALUE_LEN]]&lt;=DB_TBL_DATA_FIELDS[[#This Row],[RANGE_VALIDATION_MAX]]))</f>
        <v>0</v>
      </c>
      <c r="X180" s="8">
        <v>1</v>
      </c>
      <c r="Y180" s="8">
        <f ca="1">IF(DB_TBL_DATA_FIELDS[[#This Row],[PCT_CALC_SHOW_STATUS_CODE]]=1,
DB_TBL_DATA_FIELDS[[#This Row],[FIELD_STATUS_CODE]],
IF(AND(DB_TBL_DATA_FIELDS[[#This Row],[PCT_CALC_SHOW_STATUS_CODE]]=2,DB_TBL_DATA_FIELDS[[#This Row],[FIELD_STATUS_CODE]]=0),
DB_TBL_DATA_FIELDS[[#This Row],[FIELD_STATUS_CODE]],
"")
)</f>
        <v>1</v>
      </c>
      <c r="Z180" s="101" t="str">
        <f ca="1">IF(DB_TBL_DATA_FIELDS[[#This Row],[FIELD_VALID_CUSTOM_LOGIC]]="","",IF(NOT(DB_TBL_DATA_FIELDS[[#This Row],[FIELD_VALID_CUSTOM_LOGIC]]),"Exceeds Total Project Units",""))</f>
        <v/>
      </c>
      <c r="AA180" s="11" t="s">
        <v>2923</v>
      </c>
      <c r="AB180" s="11" t="s">
        <v>2873</v>
      </c>
      <c r="AC180" s="8"/>
    </row>
    <row r="181" spans="1:29" x14ac:dyDescent="0.2">
      <c r="A181" s="4" t="s">
        <v>65</v>
      </c>
      <c r="B181" s="4" t="s">
        <v>64</v>
      </c>
      <c r="C181" s="16" t="str">
        <f ca="1">IF($H$10&lt;&gt;"R",IF(DB_TBL_DATA_FIELDS[[#This Row],[SHEET_REF_OWNER]]&lt;&gt;"",DB_TBL_DATA_FIELDS[[#This Row],[SHEET_REF_OWNER]],""),IF(DB_TBL_DATA_FIELDS[[#This Row],[SHEET_REF_RENTAL]]&lt;&gt;"",DB_TBL_DATA_FIELDS[[#This Row],[SHEET_REF_RENTAL]],""))</f>
        <v>RentalApp</v>
      </c>
      <c r="D181" s="1" t="s">
        <v>2878</v>
      </c>
      <c r="E181" s="91" t="b">
        <v>1</v>
      </c>
      <c r="F181" s="25" t="b">
        <v>0</v>
      </c>
      <c r="G181" s="6" t="s">
        <v>2901</v>
      </c>
      <c r="H181" s="58" t="str">
        <f ca="1">IFERROR(VLOOKUP(DB_TBL_DATA_FIELDS[[#This Row],[FIELD_ID]],INDIRECT(DB_TBL_DATA_FIELDS[[#This Row],[SHEET_REF_CALC]]&amp;"!A:B"),2,FALSE),"")</f>
        <v/>
      </c>
      <c r="I181" s="11"/>
      <c r="J181" s="6" t="b">
        <f ca="1">(DB_TBL_DATA_FIELDS[[#This Row],[FIELD_VALUE_RAW]]="")</f>
        <v>1</v>
      </c>
      <c r="K181" s="6" t="s">
        <v>62</v>
      </c>
      <c r="L181" s="8" t="b">
        <f ca="1">AND(IF(DB_TBL_DATA_FIELDS[[#This Row],[FIELD_VALID_CUSTOM_LOGIC]]="",TRUE,DB_TBL_DATA_FIELDS[[#This Row],[FIELD_VALID_CUSTOM_LOGIC]]),DB_TBL_DATA_FIELDS[[#This Row],[RANGE_VALIDATION_PASSED_FLAG]])</f>
        <v>0</v>
      </c>
      <c r="M181"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81" s="8">
        <f ca="1">IF(DB_TBL_DATA_FIELDS[[#This Row],[SHEET_REF_CALC]]="","",IF(DB_TBL_DATA_FIELDS[[#This Row],[FIELD_EMPTY_FLAG]],IF(NOT(DB_TBL_DATA_FIELDS[[#This Row],[FIELD_REQ_FLAG]]),-1,1),IF(NOT(DB_TBL_DATA_FIELDS[[#This Row],[FIELD_VALID_FLAG]]),0,2)))</f>
        <v>-1</v>
      </c>
      <c r="O181" s="8" t="str">
        <f ca="1">IFERROR(VLOOKUP(DB_TBL_DATA_FIELDS[[#This Row],[FIELD_STATUS_CODE]],DB_TBL_CONFIG_FIELDSTATUSCODES[#All],3,FALSE),"")</f>
        <v>Optional</v>
      </c>
      <c r="P181" s="8" t="str">
        <f ca="1">IFERROR(VLOOKUP(DB_TBL_DATA_FIELDS[[#This Row],[FIELD_STATUS_CODE]],DB_TBL_CONFIG_FIELDSTATUSCODES[#All],4,FALSE),"")</f>
        <v xml:space="preserve"> </v>
      </c>
      <c r="Q181" s="8" t="b">
        <f>TRUE</f>
        <v>1</v>
      </c>
      <c r="R181" s="8" t="b">
        <f>TRUE</f>
        <v>1</v>
      </c>
      <c r="S181" s="4" t="s">
        <v>62</v>
      </c>
      <c r="T181" s="8">
        <f ca="1">IF(DB_TBL_DATA_FIELDS[[#This Row],[RANGE_VALIDATION_FLAG]]="Text",LEN(DB_TBL_DATA_FIELDS[[#This Row],[FIELD_VALUE_RAW]]),IFERROR(VALUE(DB_TBL_DATA_FIELDS[[#This Row],[FIELD_VALUE_RAW]]),-1))</f>
        <v>-1</v>
      </c>
      <c r="U181" s="8">
        <v>0</v>
      </c>
      <c r="V181" s="8">
        <v>999999999999</v>
      </c>
      <c r="W181" s="8" t="b">
        <f ca="1">IF(NOT(DB_TBL_DATA_FIELDS[[#This Row],[RANGE_VALIDATION_ON_FLAG]]),TRUE,
AND(DB_TBL_DATA_FIELDS[[#This Row],[RANGE_VALUE_LEN]]&gt;=DB_TBL_DATA_FIELDS[[#This Row],[RANGE_VALIDATION_MIN]],DB_TBL_DATA_FIELDS[[#This Row],[RANGE_VALUE_LEN]]&lt;=DB_TBL_DATA_FIELDS[[#This Row],[RANGE_VALIDATION_MAX]]))</f>
        <v>0</v>
      </c>
      <c r="X181" s="8">
        <v>1</v>
      </c>
      <c r="Y181" s="8">
        <f ca="1">IF(DB_TBL_DATA_FIELDS[[#This Row],[PCT_CALC_SHOW_STATUS_CODE]]=1,
DB_TBL_DATA_FIELDS[[#This Row],[FIELD_STATUS_CODE]],
IF(AND(DB_TBL_DATA_FIELDS[[#This Row],[PCT_CALC_SHOW_STATUS_CODE]]=2,DB_TBL_DATA_FIELDS[[#This Row],[FIELD_STATUS_CODE]]=0),
DB_TBL_DATA_FIELDS[[#This Row],[FIELD_STATUS_CODE]],
"")
)</f>
        <v>-1</v>
      </c>
      <c r="Z181" s="8"/>
      <c r="AA181" s="11" t="s">
        <v>2925</v>
      </c>
      <c r="AB181" s="11" t="s">
        <v>2873</v>
      </c>
      <c r="AC181" s="8"/>
    </row>
    <row r="182" spans="1:29" x14ac:dyDescent="0.2">
      <c r="A182" s="4" t="s">
        <v>65</v>
      </c>
      <c r="B182" s="4" t="s">
        <v>64</v>
      </c>
      <c r="C182" s="16" t="str">
        <f ca="1">IF($H$10&lt;&gt;"R",IF(DB_TBL_DATA_FIELDS[[#This Row],[SHEET_REF_OWNER]]&lt;&gt;"",DB_TBL_DATA_FIELDS[[#This Row],[SHEET_REF_OWNER]],""),IF(DB_TBL_DATA_FIELDS[[#This Row],[SHEET_REF_RENTAL]]&lt;&gt;"",DB_TBL_DATA_FIELDS[[#This Row],[SHEET_REF_RENTAL]],""))</f>
        <v>RentalApp</v>
      </c>
      <c r="D182" s="1" t="s">
        <v>2897</v>
      </c>
      <c r="E182" s="91" t="b">
        <v>1</v>
      </c>
      <c r="F182" s="25" t="b">
        <v>0</v>
      </c>
      <c r="G182" s="6" t="s">
        <v>2903</v>
      </c>
      <c r="H182" s="58" t="str">
        <f ca="1">IFERROR(VLOOKUP(DB_TBL_DATA_FIELDS[[#This Row],[FIELD_ID]],INDIRECT(DB_TBL_DATA_FIELDS[[#This Row],[SHEET_REF_CALC]]&amp;"!A:B"),2,FALSE),"")</f>
        <v/>
      </c>
      <c r="I182" s="11"/>
      <c r="J182" s="6" t="b">
        <f ca="1">(DB_TBL_DATA_FIELDS[[#This Row],[FIELD_VALUE_RAW]]="")</f>
        <v>1</v>
      </c>
      <c r="K182" s="6" t="s">
        <v>62</v>
      </c>
      <c r="L182" s="8" t="b">
        <f ca="1">AND(IF(DB_TBL_DATA_FIELDS[[#This Row],[FIELD_VALID_CUSTOM_LOGIC]]="",TRUE,DB_TBL_DATA_FIELDS[[#This Row],[FIELD_VALID_CUSTOM_LOGIC]]),DB_TBL_DATA_FIELDS[[#This Row],[RANGE_VALIDATION_PASSED_FLAG]])</f>
        <v>0</v>
      </c>
      <c r="M182"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82" s="8">
        <f ca="1">IF(DB_TBL_DATA_FIELDS[[#This Row],[SHEET_REF_CALC]]="","",IF(DB_TBL_DATA_FIELDS[[#This Row],[FIELD_EMPTY_FLAG]],IF(NOT(DB_TBL_DATA_FIELDS[[#This Row],[FIELD_REQ_FLAG]]),-1,1),IF(NOT(DB_TBL_DATA_FIELDS[[#This Row],[FIELD_VALID_FLAG]]),0,2)))</f>
        <v>-1</v>
      </c>
      <c r="O182" s="8" t="str">
        <f ca="1">IFERROR(VLOOKUP(DB_TBL_DATA_FIELDS[[#This Row],[FIELD_STATUS_CODE]],DB_TBL_CONFIG_FIELDSTATUSCODES[#All],3,FALSE),"")</f>
        <v>Optional</v>
      </c>
      <c r="P182" s="8" t="str">
        <f ca="1">IFERROR(VLOOKUP(DB_TBL_DATA_FIELDS[[#This Row],[FIELD_STATUS_CODE]],DB_TBL_CONFIG_FIELDSTATUSCODES[#All],4,FALSE),"")</f>
        <v xml:space="preserve"> </v>
      </c>
      <c r="Q182" s="8" t="b">
        <f>TRUE</f>
        <v>1</v>
      </c>
      <c r="R182" s="8" t="b">
        <f>TRUE</f>
        <v>1</v>
      </c>
      <c r="S182" s="4" t="s">
        <v>62</v>
      </c>
      <c r="T182" s="8">
        <f ca="1">IF(DB_TBL_DATA_FIELDS[[#This Row],[RANGE_VALIDATION_FLAG]]="Text",LEN(DB_TBL_DATA_FIELDS[[#This Row],[FIELD_VALUE_RAW]]),IFERROR(VALUE(DB_TBL_DATA_FIELDS[[#This Row],[FIELD_VALUE_RAW]]),-1))</f>
        <v>-1</v>
      </c>
      <c r="U182" s="8">
        <v>0</v>
      </c>
      <c r="V182" s="8">
        <v>999999999999</v>
      </c>
      <c r="W182" s="8" t="b">
        <f ca="1">IF(NOT(DB_TBL_DATA_FIELDS[[#This Row],[RANGE_VALIDATION_ON_FLAG]]),TRUE,
AND(DB_TBL_DATA_FIELDS[[#This Row],[RANGE_VALUE_LEN]]&gt;=DB_TBL_DATA_FIELDS[[#This Row],[RANGE_VALIDATION_MIN]],DB_TBL_DATA_FIELDS[[#This Row],[RANGE_VALUE_LEN]]&lt;=DB_TBL_DATA_FIELDS[[#This Row],[RANGE_VALIDATION_MAX]]))</f>
        <v>0</v>
      </c>
      <c r="X182" s="8">
        <v>1</v>
      </c>
      <c r="Y182" s="8">
        <f ca="1">IF(DB_TBL_DATA_FIELDS[[#This Row],[PCT_CALC_SHOW_STATUS_CODE]]=1,
DB_TBL_DATA_FIELDS[[#This Row],[FIELD_STATUS_CODE]],
IF(AND(DB_TBL_DATA_FIELDS[[#This Row],[PCT_CALC_SHOW_STATUS_CODE]]=2,DB_TBL_DATA_FIELDS[[#This Row],[FIELD_STATUS_CODE]]=0),
DB_TBL_DATA_FIELDS[[#This Row],[FIELD_STATUS_CODE]],
"")
)</f>
        <v>-1</v>
      </c>
      <c r="Z182" s="8"/>
      <c r="AA182" s="11" t="s">
        <v>2925</v>
      </c>
      <c r="AB182" s="11" t="s">
        <v>2873</v>
      </c>
      <c r="AC182" s="8"/>
    </row>
    <row r="183" spans="1:29" x14ac:dyDescent="0.2">
      <c r="A183" s="4" t="s">
        <v>65</v>
      </c>
      <c r="B183" s="4" t="s">
        <v>64</v>
      </c>
      <c r="C183" s="16" t="str">
        <f ca="1">IF($H$10&lt;&gt;"R",IF(DB_TBL_DATA_FIELDS[[#This Row],[SHEET_REF_OWNER]]&lt;&gt;"",DB_TBL_DATA_FIELDS[[#This Row],[SHEET_REF_OWNER]],""),IF(DB_TBL_DATA_FIELDS[[#This Row],[SHEET_REF_RENTAL]]&lt;&gt;"",DB_TBL_DATA_FIELDS[[#This Row],[SHEET_REF_RENTAL]],""))</f>
        <v>RentalApp</v>
      </c>
      <c r="D183" s="1" t="s">
        <v>2895</v>
      </c>
      <c r="E183" s="91" t="b">
        <v>1</v>
      </c>
      <c r="F183" s="25" t="b">
        <v>0</v>
      </c>
      <c r="G183" s="6" t="s">
        <v>2905</v>
      </c>
      <c r="H183" s="58" t="str">
        <f ca="1">IFERROR(VLOOKUP(DB_TBL_DATA_FIELDS[[#This Row],[FIELD_ID]],INDIRECT(DB_TBL_DATA_FIELDS[[#This Row],[SHEET_REF_CALC]]&amp;"!A:B"),2,FALSE),"")</f>
        <v/>
      </c>
      <c r="I183" s="11"/>
      <c r="J183" s="6" t="b">
        <f ca="1">(DB_TBL_DATA_FIELDS[[#This Row],[FIELD_VALUE_RAW]]="")</f>
        <v>1</v>
      </c>
      <c r="K183" s="6" t="s">
        <v>62</v>
      </c>
      <c r="L183" s="8" t="b">
        <f ca="1">AND(IF(DB_TBL_DATA_FIELDS[[#This Row],[FIELD_VALID_CUSTOM_LOGIC]]="",TRUE,DB_TBL_DATA_FIELDS[[#This Row],[FIELD_VALID_CUSTOM_LOGIC]]),DB_TBL_DATA_FIELDS[[#This Row],[RANGE_VALIDATION_PASSED_FLAG]])</f>
        <v>0</v>
      </c>
      <c r="M183"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83" s="8">
        <f ca="1">IF(DB_TBL_DATA_FIELDS[[#This Row],[SHEET_REF_CALC]]="","",IF(DB_TBL_DATA_FIELDS[[#This Row],[FIELD_EMPTY_FLAG]],IF(NOT(DB_TBL_DATA_FIELDS[[#This Row],[FIELD_REQ_FLAG]]),-1,1),IF(NOT(DB_TBL_DATA_FIELDS[[#This Row],[FIELD_VALID_FLAG]]),0,2)))</f>
        <v>-1</v>
      </c>
      <c r="O183" s="8" t="str">
        <f ca="1">IFERROR(VLOOKUP(DB_TBL_DATA_FIELDS[[#This Row],[FIELD_STATUS_CODE]],DB_TBL_CONFIG_FIELDSTATUSCODES[#All],3,FALSE),"")</f>
        <v>Optional</v>
      </c>
      <c r="P183" s="8" t="str">
        <f ca="1">IFERROR(VLOOKUP(DB_TBL_DATA_FIELDS[[#This Row],[FIELD_STATUS_CODE]],DB_TBL_CONFIG_FIELDSTATUSCODES[#All],4,FALSE),"")</f>
        <v xml:space="preserve"> </v>
      </c>
      <c r="Q183" s="8" t="b">
        <f>TRUE</f>
        <v>1</v>
      </c>
      <c r="R183" s="8" t="b">
        <f>TRUE</f>
        <v>1</v>
      </c>
      <c r="S183" s="4" t="s">
        <v>62</v>
      </c>
      <c r="T183" s="8">
        <f ca="1">IF(DB_TBL_DATA_FIELDS[[#This Row],[RANGE_VALIDATION_FLAG]]="Text",LEN(DB_TBL_DATA_FIELDS[[#This Row],[FIELD_VALUE_RAW]]),IFERROR(VALUE(DB_TBL_DATA_FIELDS[[#This Row],[FIELD_VALUE_RAW]]),-1))</f>
        <v>-1</v>
      </c>
      <c r="U183" s="8">
        <v>0</v>
      </c>
      <c r="V183" s="8">
        <v>999999999999</v>
      </c>
      <c r="W183" s="8" t="b">
        <f ca="1">IF(NOT(DB_TBL_DATA_FIELDS[[#This Row],[RANGE_VALIDATION_ON_FLAG]]),TRUE,
AND(DB_TBL_DATA_FIELDS[[#This Row],[RANGE_VALUE_LEN]]&gt;=DB_TBL_DATA_FIELDS[[#This Row],[RANGE_VALIDATION_MIN]],DB_TBL_DATA_FIELDS[[#This Row],[RANGE_VALUE_LEN]]&lt;=DB_TBL_DATA_FIELDS[[#This Row],[RANGE_VALIDATION_MAX]]))</f>
        <v>0</v>
      </c>
      <c r="X183" s="8">
        <v>1</v>
      </c>
      <c r="Y183" s="8">
        <f ca="1">IF(DB_TBL_DATA_FIELDS[[#This Row],[PCT_CALC_SHOW_STATUS_CODE]]=1,
DB_TBL_DATA_FIELDS[[#This Row],[FIELD_STATUS_CODE]],
IF(AND(DB_TBL_DATA_FIELDS[[#This Row],[PCT_CALC_SHOW_STATUS_CODE]]=2,DB_TBL_DATA_FIELDS[[#This Row],[FIELD_STATUS_CODE]]=0),
DB_TBL_DATA_FIELDS[[#This Row],[FIELD_STATUS_CODE]],
"")
)</f>
        <v>-1</v>
      </c>
      <c r="Z183" s="8"/>
      <c r="AA183" s="11" t="s">
        <v>2925</v>
      </c>
      <c r="AB183" s="11" t="s">
        <v>2873</v>
      </c>
      <c r="AC183" s="8"/>
    </row>
    <row r="184" spans="1:29" x14ac:dyDescent="0.2">
      <c r="A184" s="4" t="s">
        <v>65</v>
      </c>
      <c r="B184" s="4" t="s">
        <v>64</v>
      </c>
      <c r="C184" s="16" t="str">
        <f ca="1">IF($H$10&lt;&gt;"R",IF(DB_TBL_DATA_FIELDS[[#This Row],[SHEET_REF_OWNER]]&lt;&gt;"",DB_TBL_DATA_FIELDS[[#This Row],[SHEET_REF_OWNER]],""),IF(DB_TBL_DATA_FIELDS[[#This Row],[SHEET_REF_RENTAL]]&lt;&gt;"",DB_TBL_DATA_FIELDS[[#This Row],[SHEET_REF_RENTAL]],""))</f>
        <v>RentalApp</v>
      </c>
      <c r="D184" s="1" t="s">
        <v>2893</v>
      </c>
      <c r="E184" s="91" t="b">
        <v>1</v>
      </c>
      <c r="F184" s="25" t="b">
        <v>0</v>
      </c>
      <c r="G184" s="6" t="s">
        <v>2907</v>
      </c>
      <c r="H184" s="58" t="str">
        <f ca="1">IFERROR(VLOOKUP(DB_TBL_DATA_FIELDS[[#This Row],[FIELD_ID]],INDIRECT(DB_TBL_DATA_FIELDS[[#This Row],[SHEET_REF_CALC]]&amp;"!A:B"),2,FALSE),"")</f>
        <v/>
      </c>
      <c r="I184" s="11"/>
      <c r="J184" s="6" t="b">
        <f ca="1">(DB_TBL_DATA_FIELDS[[#This Row],[FIELD_VALUE_RAW]]="")</f>
        <v>1</v>
      </c>
      <c r="K184" s="6" t="s">
        <v>62</v>
      </c>
      <c r="L184" s="8" t="b">
        <f ca="1">AND(IF(DB_TBL_DATA_FIELDS[[#This Row],[FIELD_VALID_CUSTOM_LOGIC]]="",TRUE,DB_TBL_DATA_FIELDS[[#This Row],[FIELD_VALID_CUSTOM_LOGIC]]),DB_TBL_DATA_FIELDS[[#This Row],[RANGE_VALIDATION_PASSED_FLAG]])</f>
        <v>0</v>
      </c>
      <c r="M184"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84" s="8">
        <f ca="1">IF(DB_TBL_DATA_FIELDS[[#This Row],[SHEET_REF_CALC]]="","",IF(DB_TBL_DATA_FIELDS[[#This Row],[FIELD_EMPTY_FLAG]],IF(NOT(DB_TBL_DATA_FIELDS[[#This Row],[FIELD_REQ_FLAG]]),-1,1),IF(NOT(DB_TBL_DATA_FIELDS[[#This Row],[FIELD_VALID_FLAG]]),0,2)))</f>
        <v>-1</v>
      </c>
      <c r="O184" s="8" t="str">
        <f ca="1">IFERROR(VLOOKUP(DB_TBL_DATA_FIELDS[[#This Row],[FIELD_STATUS_CODE]],DB_TBL_CONFIG_FIELDSTATUSCODES[#All],3,FALSE),"")</f>
        <v>Optional</v>
      </c>
      <c r="P184" s="8" t="str">
        <f ca="1">IFERROR(VLOOKUP(DB_TBL_DATA_FIELDS[[#This Row],[FIELD_STATUS_CODE]],DB_TBL_CONFIG_FIELDSTATUSCODES[#All],4,FALSE),"")</f>
        <v xml:space="preserve"> </v>
      </c>
      <c r="Q184" s="8" t="b">
        <f>TRUE</f>
        <v>1</v>
      </c>
      <c r="R184" s="8" t="b">
        <f>TRUE</f>
        <v>1</v>
      </c>
      <c r="S184" s="4" t="s">
        <v>62</v>
      </c>
      <c r="T184" s="8">
        <f ca="1">IF(DB_TBL_DATA_FIELDS[[#This Row],[RANGE_VALIDATION_FLAG]]="Text",LEN(DB_TBL_DATA_FIELDS[[#This Row],[FIELD_VALUE_RAW]]),IFERROR(VALUE(DB_TBL_DATA_FIELDS[[#This Row],[FIELD_VALUE_RAW]]),-1))</f>
        <v>-1</v>
      </c>
      <c r="U184" s="8">
        <v>0</v>
      </c>
      <c r="V184" s="8">
        <v>999999999999</v>
      </c>
      <c r="W184" s="8" t="b">
        <f ca="1">IF(NOT(DB_TBL_DATA_FIELDS[[#This Row],[RANGE_VALIDATION_ON_FLAG]]),TRUE,
AND(DB_TBL_DATA_FIELDS[[#This Row],[RANGE_VALUE_LEN]]&gt;=DB_TBL_DATA_FIELDS[[#This Row],[RANGE_VALIDATION_MIN]],DB_TBL_DATA_FIELDS[[#This Row],[RANGE_VALUE_LEN]]&lt;=DB_TBL_DATA_FIELDS[[#This Row],[RANGE_VALIDATION_MAX]]))</f>
        <v>0</v>
      </c>
      <c r="X184" s="8">
        <v>1</v>
      </c>
      <c r="Y184" s="8">
        <f ca="1">IF(DB_TBL_DATA_FIELDS[[#This Row],[PCT_CALC_SHOW_STATUS_CODE]]=1,
DB_TBL_DATA_FIELDS[[#This Row],[FIELD_STATUS_CODE]],
IF(AND(DB_TBL_DATA_FIELDS[[#This Row],[PCT_CALC_SHOW_STATUS_CODE]]=2,DB_TBL_DATA_FIELDS[[#This Row],[FIELD_STATUS_CODE]]=0),
DB_TBL_DATA_FIELDS[[#This Row],[FIELD_STATUS_CODE]],
"")
)</f>
        <v>-1</v>
      </c>
      <c r="Z184" s="8"/>
      <c r="AA184" s="11" t="s">
        <v>2925</v>
      </c>
      <c r="AB184" s="11" t="s">
        <v>2873</v>
      </c>
      <c r="AC184" s="8"/>
    </row>
    <row r="185" spans="1:29" x14ac:dyDescent="0.2">
      <c r="A185" s="4" t="s">
        <v>65</v>
      </c>
      <c r="B185" s="4" t="s">
        <v>64</v>
      </c>
      <c r="C185" s="16" t="str">
        <f ca="1">IF($H$10&lt;&gt;"R",IF(DB_TBL_DATA_FIELDS[[#This Row],[SHEET_REF_OWNER]]&lt;&gt;"",DB_TBL_DATA_FIELDS[[#This Row],[SHEET_REF_OWNER]],""),IF(DB_TBL_DATA_FIELDS[[#This Row],[SHEET_REF_RENTAL]]&lt;&gt;"",DB_TBL_DATA_FIELDS[[#This Row],[SHEET_REF_RENTAL]],""))</f>
        <v>RentalApp</v>
      </c>
      <c r="D185" s="1" t="s">
        <v>2891</v>
      </c>
      <c r="E185" s="91" t="b">
        <v>1</v>
      </c>
      <c r="F185" s="25" t="b">
        <v>0</v>
      </c>
      <c r="G185" s="6" t="s">
        <v>2909</v>
      </c>
      <c r="H185" s="58" t="str">
        <f ca="1">IFERROR(VLOOKUP(DB_TBL_DATA_FIELDS[[#This Row],[FIELD_ID]],INDIRECT(DB_TBL_DATA_FIELDS[[#This Row],[SHEET_REF_CALC]]&amp;"!A:B"),2,FALSE),"")</f>
        <v/>
      </c>
      <c r="I185" s="11"/>
      <c r="J185" s="6" t="b">
        <f ca="1">(DB_TBL_DATA_FIELDS[[#This Row],[FIELD_VALUE_RAW]]="")</f>
        <v>1</v>
      </c>
      <c r="K185" s="6" t="s">
        <v>62</v>
      </c>
      <c r="L185" s="8" t="b">
        <f ca="1">AND(IF(DB_TBL_DATA_FIELDS[[#This Row],[FIELD_VALID_CUSTOM_LOGIC]]="",TRUE,DB_TBL_DATA_FIELDS[[#This Row],[FIELD_VALID_CUSTOM_LOGIC]]),DB_TBL_DATA_FIELDS[[#This Row],[RANGE_VALIDATION_PASSED_FLAG]])</f>
        <v>0</v>
      </c>
      <c r="M185"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85" s="8">
        <f ca="1">IF(DB_TBL_DATA_FIELDS[[#This Row],[SHEET_REF_CALC]]="","",IF(DB_TBL_DATA_FIELDS[[#This Row],[FIELD_EMPTY_FLAG]],IF(NOT(DB_TBL_DATA_FIELDS[[#This Row],[FIELD_REQ_FLAG]]),-1,1),IF(NOT(DB_TBL_DATA_FIELDS[[#This Row],[FIELD_VALID_FLAG]]),0,2)))</f>
        <v>-1</v>
      </c>
      <c r="O185" s="8" t="str">
        <f ca="1">IFERROR(VLOOKUP(DB_TBL_DATA_FIELDS[[#This Row],[FIELD_STATUS_CODE]],DB_TBL_CONFIG_FIELDSTATUSCODES[#All],3,FALSE),"")</f>
        <v>Optional</v>
      </c>
      <c r="P185" s="8" t="str">
        <f ca="1">IFERROR(VLOOKUP(DB_TBL_DATA_FIELDS[[#This Row],[FIELD_STATUS_CODE]],DB_TBL_CONFIG_FIELDSTATUSCODES[#All],4,FALSE),"")</f>
        <v xml:space="preserve"> </v>
      </c>
      <c r="Q185" s="8" t="b">
        <f>TRUE</f>
        <v>1</v>
      </c>
      <c r="R185" s="8" t="b">
        <f>TRUE</f>
        <v>1</v>
      </c>
      <c r="S185" s="4" t="s">
        <v>62</v>
      </c>
      <c r="T185" s="8">
        <f ca="1">IF(DB_TBL_DATA_FIELDS[[#This Row],[RANGE_VALIDATION_FLAG]]="Text",LEN(DB_TBL_DATA_FIELDS[[#This Row],[FIELD_VALUE_RAW]]),IFERROR(VALUE(DB_TBL_DATA_FIELDS[[#This Row],[FIELD_VALUE_RAW]]),-1))</f>
        <v>-1</v>
      </c>
      <c r="U185" s="8">
        <v>0</v>
      </c>
      <c r="V185" s="8">
        <v>999999999999</v>
      </c>
      <c r="W185" s="8" t="b">
        <f ca="1">IF(NOT(DB_TBL_DATA_FIELDS[[#This Row],[RANGE_VALIDATION_ON_FLAG]]),TRUE,
AND(DB_TBL_DATA_FIELDS[[#This Row],[RANGE_VALUE_LEN]]&gt;=DB_TBL_DATA_FIELDS[[#This Row],[RANGE_VALIDATION_MIN]],DB_TBL_DATA_FIELDS[[#This Row],[RANGE_VALUE_LEN]]&lt;=DB_TBL_DATA_FIELDS[[#This Row],[RANGE_VALIDATION_MAX]]))</f>
        <v>0</v>
      </c>
      <c r="X185" s="8">
        <v>1</v>
      </c>
      <c r="Y185" s="8">
        <f ca="1">IF(DB_TBL_DATA_FIELDS[[#This Row],[PCT_CALC_SHOW_STATUS_CODE]]=1,
DB_TBL_DATA_FIELDS[[#This Row],[FIELD_STATUS_CODE]],
IF(AND(DB_TBL_DATA_FIELDS[[#This Row],[PCT_CALC_SHOW_STATUS_CODE]]=2,DB_TBL_DATA_FIELDS[[#This Row],[FIELD_STATUS_CODE]]=0),
DB_TBL_DATA_FIELDS[[#This Row],[FIELD_STATUS_CODE]],
"")
)</f>
        <v>-1</v>
      </c>
      <c r="Z185" s="8"/>
      <c r="AA185" s="11" t="s">
        <v>2925</v>
      </c>
      <c r="AB185" s="11" t="s">
        <v>2873</v>
      </c>
      <c r="AC185" s="8"/>
    </row>
    <row r="186" spans="1:29" x14ac:dyDescent="0.2">
      <c r="A186" s="4" t="s">
        <v>65</v>
      </c>
      <c r="B186" s="4" t="s">
        <v>64</v>
      </c>
      <c r="C186" s="16" t="str">
        <f ca="1">IF($H$10&lt;&gt;"R",IF(DB_TBL_DATA_FIELDS[[#This Row],[SHEET_REF_OWNER]]&lt;&gt;"",DB_TBL_DATA_FIELDS[[#This Row],[SHEET_REF_OWNER]],""),IF(DB_TBL_DATA_FIELDS[[#This Row],[SHEET_REF_RENTAL]]&lt;&gt;"",DB_TBL_DATA_FIELDS[[#This Row],[SHEET_REF_RENTAL]],""))</f>
        <v>RentalApp</v>
      </c>
      <c r="D186" s="1" t="s">
        <v>2889</v>
      </c>
      <c r="E186" s="91" t="b">
        <v>1</v>
      </c>
      <c r="F186" s="25" t="b">
        <v>0</v>
      </c>
      <c r="G186" s="6" t="s">
        <v>2911</v>
      </c>
      <c r="H186" s="58" t="str">
        <f ca="1">IFERROR(VLOOKUP(DB_TBL_DATA_FIELDS[[#This Row],[FIELD_ID]],INDIRECT(DB_TBL_DATA_FIELDS[[#This Row],[SHEET_REF_CALC]]&amp;"!A:B"),2,FALSE),"")</f>
        <v/>
      </c>
      <c r="I186" s="11"/>
      <c r="J186" s="6" t="b">
        <f ca="1">(DB_TBL_DATA_FIELDS[[#This Row],[FIELD_VALUE_RAW]]="")</f>
        <v>1</v>
      </c>
      <c r="K186" s="6" t="s">
        <v>62</v>
      </c>
      <c r="L186" s="8" t="b">
        <f ca="1">AND(IF(DB_TBL_DATA_FIELDS[[#This Row],[FIELD_VALID_CUSTOM_LOGIC]]="",TRUE,DB_TBL_DATA_FIELDS[[#This Row],[FIELD_VALID_CUSTOM_LOGIC]]),DB_TBL_DATA_FIELDS[[#This Row],[RANGE_VALIDATION_PASSED_FLAG]])</f>
        <v>0</v>
      </c>
      <c r="M186"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86" s="8">
        <f ca="1">IF(DB_TBL_DATA_FIELDS[[#This Row],[SHEET_REF_CALC]]="","",IF(DB_TBL_DATA_FIELDS[[#This Row],[FIELD_EMPTY_FLAG]],IF(NOT(DB_TBL_DATA_FIELDS[[#This Row],[FIELD_REQ_FLAG]]),-1,1),IF(NOT(DB_TBL_DATA_FIELDS[[#This Row],[FIELD_VALID_FLAG]]),0,2)))</f>
        <v>-1</v>
      </c>
      <c r="O186" s="8" t="str">
        <f ca="1">IFERROR(VLOOKUP(DB_TBL_DATA_FIELDS[[#This Row],[FIELD_STATUS_CODE]],DB_TBL_CONFIG_FIELDSTATUSCODES[#All],3,FALSE),"")</f>
        <v>Optional</v>
      </c>
      <c r="P186" s="8" t="str">
        <f ca="1">IFERROR(VLOOKUP(DB_TBL_DATA_FIELDS[[#This Row],[FIELD_STATUS_CODE]],DB_TBL_CONFIG_FIELDSTATUSCODES[#All],4,FALSE),"")</f>
        <v xml:space="preserve"> </v>
      </c>
      <c r="Q186" s="8" t="b">
        <f>TRUE</f>
        <v>1</v>
      </c>
      <c r="R186" s="8" t="b">
        <f>TRUE</f>
        <v>1</v>
      </c>
      <c r="S186" s="4" t="s">
        <v>62</v>
      </c>
      <c r="T186" s="8">
        <f ca="1">IF(DB_TBL_DATA_FIELDS[[#This Row],[RANGE_VALIDATION_FLAG]]="Text",LEN(DB_TBL_DATA_FIELDS[[#This Row],[FIELD_VALUE_RAW]]),IFERROR(VALUE(DB_TBL_DATA_FIELDS[[#This Row],[FIELD_VALUE_RAW]]),-1))</f>
        <v>-1</v>
      </c>
      <c r="U186" s="8">
        <v>0</v>
      </c>
      <c r="V186" s="8">
        <v>999999999999</v>
      </c>
      <c r="W186" s="8" t="b">
        <f ca="1">IF(NOT(DB_TBL_DATA_FIELDS[[#This Row],[RANGE_VALIDATION_ON_FLAG]]),TRUE,
AND(DB_TBL_DATA_FIELDS[[#This Row],[RANGE_VALUE_LEN]]&gt;=DB_TBL_DATA_FIELDS[[#This Row],[RANGE_VALIDATION_MIN]],DB_TBL_DATA_FIELDS[[#This Row],[RANGE_VALUE_LEN]]&lt;=DB_TBL_DATA_FIELDS[[#This Row],[RANGE_VALIDATION_MAX]]))</f>
        <v>0</v>
      </c>
      <c r="X186" s="8">
        <v>1</v>
      </c>
      <c r="Y186" s="8">
        <f ca="1">IF(DB_TBL_DATA_FIELDS[[#This Row],[PCT_CALC_SHOW_STATUS_CODE]]=1,
DB_TBL_DATA_FIELDS[[#This Row],[FIELD_STATUS_CODE]],
IF(AND(DB_TBL_DATA_FIELDS[[#This Row],[PCT_CALC_SHOW_STATUS_CODE]]=2,DB_TBL_DATA_FIELDS[[#This Row],[FIELD_STATUS_CODE]]=0),
DB_TBL_DATA_FIELDS[[#This Row],[FIELD_STATUS_CODE]],
"")
)</f>
        <v>-1</v>
      </c>
      <c r="Z186" s="8"/>
      <c r="AA186" s="11" t="s">
        <v>2925</v>
      </c>
      <c r="AB186" s="11" t="s">
        <v>2873</v>
      </c>
      <c r="AC186" s="8"/>
    </row>
    <row r="187" spans="1:29" x14ac:dyDescent="0.2">
      <c r="A187" s="4" t="s">
        <v>65</v>
      </c>
      <c r="B187" s="4" t="s">
        <v>64</v>
      </c>
      <c r="C187" s="16" t="str">
        <f ca="1">IF($H$10&lt;&gt;"R",IF(DB_TBL_DATA_FIELDS[[#This Row],[SHEET_REF_OWNER]]&lt;&gt;"",DB_TBL_DATA_FIELDS[[#This Row],[SHEET_REF_OWNER]],""),IF(DB_TBL_DATA_FIELDS[[#This Row],[SHEET_REF_RENTAL]]&lt;&gt;"",DB_TBL_DATA_FIELDS[[#This Row],[SHEET_REF_RENTAL]],""))</f>
        <v>RentalApp</v>
      </c>
      <c r="D187" s="1" t="s">
        <v>2887</v>
      </c>
      <c r="E187" s="91" t="b">
        <v>1</v>
      </c>
      <c r="F187" s="25" t="b">
        <v>0</v>
      </c>
      <c r="G187" s="6" t="s">
        <v>2913</v>
      </c>
      <c r="H187" s="58" t="str">
        <f ca="1">IFERROR(VLOOKUP(DB_TBL_DATA_FIELDS[[#This Row],[FIELD_ID]],INDIRECT(DB_TBL_DATA_FIELDS[[#This Row],[SHEET_REF_CALC]]&amp;"!A:B"),2,FALSE),"")</f>
        <v/>
      </c>
      <c r="I187" s="11"/>
      <c r="J187" s="6" t="b">
        <f ca="1">(DB_TBL_DATA_FIELDS[[#This Row],[FIELD_VALUE_RAW]]="")</f>
        <v>1</v>
      </c>
      <c r="K187" s="6" t="s">
        <v>62</v>
      </c>
      <c r="L187" s="8" t="b">
        <f ca="1">AND(IF(DB_TBL_DATA_FIELDS[[#This Row],[FIELD_VALID_CUSTOM_LOGIC]]="",TRUE,DB_TBL_DATA_FIELDS[[#This Row],[FIELD_VALID_CUSTOM_LOGIC]]),DB_TBL_DATA_FIELDS[[#This Row],[RANGE_VALIDATION_PASSED_FLAG]])</f>
        <v>0</v>
      </c>
      <c r="M187"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87" s="8">
        <f ca="1">IF(DB_TBL_DATA_FIELDS[[#This Row],[SHEET_REF_CALC]]="","",IF(DB_TBL_DATA_FIELDS[[#This Row],[FIELD_EMPTY_FLAG]],IF(NOT(DB_TBL_DATA_FIELDS[[#This Row],[FIELD_REQ_FLAG]]),-1,1),IF(NOT(DB_TBL_DATA_FIELDS[[#This Row],[FIELD_VALID_FLAG]]),0,2)))</f>
        <v>-1</v>
      </c>
      <c r="O187" s="8" t="str">
        <f ca="1">IFERROR(VLOOKUP(DB_TBL_DATA_FIELDS[[#This Row],[FIELD_STATUS_CODE]],DB_TBL_CONFIG_FIELDSTATUSCODES[#All],3,FALSE),"")</f>
        <v>Optional</v>
      </c>
      <c r="P187" s="8" t="str">
        <f ca="1">IFERROR(VLOOKUP(DB_TBL_DATA_FIELDS[[#This Row],[FIELD_STATUS_CODE]],DB_TBL_CONFIG_FIELDSTATUSCODES[#All],4,FALSE),"")</f>
        <v xml:space="preserve"> </v>
      </c>
      <c r="Q187" s="8" t="b">
        <f>TRUE</f>
        <v>1</v>
      </c>
      <c r="R187" s="8" t="b">
        <f>TRUE</f>
        <v>1</v>
      </c>
      <c r="S187" s="4" t="s">
        <v>62</v>
      </c>
      <c r="T187" s="8">
        <f ca="1">IF(DB_TBL_DATA_FIELDS[[#This Row],[RANGE_VALIDATION_FLAG]]="Text",LEN(DB_TBL_DATA_FIELDS[[#This Row],[FIELD_VALUE_RAW]]),IFERROR(VALUE(DB_TBL_DATA_FIELDS[[#This Row],[FIELD_VALUE_RAW]]),-1))</f>
        <v>-1</v>
      </c>
      <c r="U187" s="8">
        <v>0</v>
      </c>
      <c r="V187" s="8">
        <v>999999999999</v>
      </c>
      <c r="W187" s="8" t="b">
        <f ca="1">IF(NOT(DB_TBL_DATA_FIELDS[[#This Row],[RANGE_VALIDATION_ON_FLAG]]),TRUE,
AND(DB_TBL_DATA_FIELDS[[#This Row],[RANGE_VALUE_LEN]]&gt;=DB_TBL_DATA_FIELDS[[#This Row],[RANGE_VALIDATION_MIN]],DB_TBL_DATA_FIELDS[[#This Row],[RANGE_VALUE_LEN]]&lt;=DB_TBL_DATA_FIELDS[[#This Row],[RANGE_VALIDATION_MAX]]))</f>
        <v>0</v>
      </c>
      <c r="X187" s="8">
        <v>1</v>
      </c>
      <c r="Y187" s="8">
        <f ca="1">IF(DB_TBL_DATA_FIELDS[[#This Row],[PCT_CALC_SHOW_STATUS_CODE]]=1,
DB_TBL_DATA_FIELDS[[#This Row],[FIELD_STATUS_CODE]],
IF(AND(DB_TBL_DATA_FIELDS[[#This Row],[PCT_CALC_SHOW_STATUS_CODE]]=2,DB_TBL_DATA_FIELDS[[#This Row],[FIELD_STATUS_CODE]]=0),
DB_TBL_DATA_FIELDS[[#This Row],[FIELD_STATUS_CODE]],
"")
)</f>
        <v>-1</v>
      </c>
      <c r="Z187" s="8"/>
      <c r="AA187" s="11" t="s">
        <v>2925</v>
      </c>
      <c r="AB187" s="11" t="s">
        <v>2873</v>
      </c>
      <c r="AC187" s="8"/>
    </row>
    <row r="188" spans="1:29" x14ac:dyDescent="0.2">
      <c r="A188" s="4" t="s">
        <v>65</v>
      </c>
      <c r="B188" s="4" t="s">
        <v>64</v>
      </c>
      <c r="C188" s="16" t="str">
        <f ca="1">IF($H$10&lt;&gt;"R",IF(DB_TBL_DATA_FIELDS[[#This Row],[SHEET_REF_OWNER]]&lt;&gt;"",DB_TBL_DATA_FIELDS[[#This Row],[SHEET_REF_OWNER]],""),IF(DB_TBL_DATA_FIELDS[[#This Row],[SHEET_REF_RENTAL]]&lt;&gt;"",DB_TBL_DATA_FIELDS[[#This Row],[SHEET_REF_RENTAL]],""))</f>
        <v>RentalApp</v>
      </c>
      <c r="D188" s="1" t="s">
        <v>2885</v>
      </c>
      <c r="E188" s="91" t="b">
        <v>1</v>
      </c>
      <c r="F188" s="25" t="b">
        <v>0</v>
      </c>
      <c r="G188" s="6" t="s">
        <v>2915</v>
      </c>
      <c r="H188" s="58" t="str">
        <f ca="1">IFERROR(VLOOKUP(DB_TBL_DATA_FIELDS[[#This Row],[FIELD_ID]],INDIRECT(DB_TBL_DATA_FIELDS[[#This Row],[SHEET_REF_CALC]]&amp;"!A:B"),2,FALSE),"")</f>
        <v/>
      </c>
      <c r="I188" s="11"/>
      <c r="J188" s="6" t="b">
        <f ca="1">(DB_TBL_DATA_FIELDS[[#This Row],[FIELD_VALUE_RAW]]="")</f>
        <v>1</v>
      </c>
      <c r="K188" s="6" t="s">
        <v>62</v>
      </c>
      <c r="L188" s="8" t="b">
        <f ca="1">AND(IF(DB_TBL_DATA_FIELDS[[#This Row],[FIELD_VALID_CUSTOM_LOGIC]]="",TRUE,DB_TBL_DATA_FIELDS[[#This Row],[FIELD_VALID_CUSTOM_LOGIC]]),DB_TBL_DATA_FIELDS[[#This Row],[RANGE_VALIDATION_PASSED_FLAG]])</f>
        <v>0</v>
      </c>
      <c r="M188"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88" s="8">
        <f ca="1">IF(DB_TBL_DATA_FIELDS[[#This Row],[SHEET_REF_CALC]]="","",IF(DB_TBL_DATA_FIELDS[[#This Row],[FIELD_EMPTY_FLAG]],IF(NOT(DB_TBL_DATA_FIELDS[[#This Row],[FIELD_REQ_FLAG]]),-1,1),IF(NOT(DB_TBL_DATA_FIELDS[[#This Row],[FIELD_VALID_FLAG]]),0,2)))</f>
        <v>-1</v>
      </c>
      <c r="O188" s="8" t="str">
        <f ca="1">IFERROR(VLOOKUP(DB_TBL_DATA_FIELDS[[#This Row],[FIELD_STATUS_CODE]],DB_TBL_CONFIG_FIELDSTATUSCODES[#All],3,FALSE),"")</f>
        <v>Optional</v>
      </c>
      <c r="P188" s="8" t="str">
        <f ca="1">IFERROR(VLOOKUP(DB_TBL_DATA_FIELDS[[#This Row],[FIELD_STATUS_CODE]],DB_TBL_CONFIG_FIELDSTATUSCODES[#All],4,FALSE),"")</f>
        <v xml:space="preserve"> </v>
      </c>
      <c r="Q188" s="8" t="b">
        <f>TRUE</f>
        <v>1</v>
      </c>
      <c r="R188" s="8" t="b">
        <f>TRUE</f>
        <v>1</v>
      </c>
      <c r="S188" s="4" t="s">
        <v>62</v>
      </c>
      <c r="T188" s="8">
        <f ca="1">IF(DB_TBL_DATA_FIELDS[[#This Row],[RANGE_VALIDATION_FLAG]]="Text",LEN(DB_TBL_DATA_FIELDS[[#This Row],[FIELD_VALUE_RAW]]),IFERROR(VALUE(DB_TBL_DATA_FIELDS[[#This Row],[FIELD_VALUE_RAW]]),-1))</f>
        <v>-1</v>
      </c>
      <c r="U188" s="8">
        <v>0</v>
      </c>
      <c r="V188" s="8">
        <v>999999999999</v>
      </c>
      <c r="W188" s="8" t="b">
        <f ca="1">IF(NOT(DB_TBL_DATA_FIELDS[[#This Row],[RANGE_VALIDATION_ON_FLAG]]),TRUE,
AND(DB_TBL_DATA_FIELDS[[#This Row],[RANGE_VALUE_LEN]]&gt;=DB_TBL_DATA_FIELDS[[#This Row],[RANGE_VALIDATION_MIN]],DB_TBL_DATA_FIELDS[[#This Row],[RANGE_VALUE_LEN]]&lt;=DB_TBL_DATA_FIELDS[[#This Row],[RANGE_VALIDATION_MAX]]))</f>
        <v>0</v>
      </c>
      <c r="X188" s="8">
        <v>1</v>
      </c>
      <c r="Y188" s="8">
        <f ca="1">IF(DB_TBL_DATA_FIELDS[[#This Row],[PCT_CALC_SHOW_STATUS_CODE]]=1,
DB_TBL_DATA_FIELDS[[#This Row],[FIELD_STATUS_CODE]],
IF(AND(DB_TBL_DATA_FIELDS[[#This Row],[PCT_CALC_SHOW_STATUS_CODE]]=2,DB_TBL_DATA_FIELDS[[#This Row],[FIELD_STATUS_CODE]]=0),
DB_TBL_DATA_FIELDS[[#This Row],[FIELD_STATUS_CODE]],
"")
)</f>
        <v>-1</v>
      </c>
      <c r="Z188" s="8"/>
      <c r="AA188" s="11" t="s">
        <v>2925</v>
      </c>
      <c r="AB188" s="11" t="s">
        <v>2873</v>
      </c>
      <c r="AC188" s="8"/>
    </row>
    <row r="189" spans="1:29" x14ac:dyDescent="0.2">
      <c r="A189" s="4" t="s">
        <v>65</v>
      </c>
      <c r="B189" s="4" t="s">
        <v>64</v>
      </c>
      <c r="C189" s="16" t="str">
        <f ca="1">IF($H$10&lt;&gt;"R",IF(DB_TBL_DATA_FIELDS[[#This Row],[SHEET_REF_OWNER]]&lt;&gt;"",DB_TBL_DATA_FIELDS[[#This Row],[SHEET_REF_OWNER]],""),IF(DB_TBL_DATA_FIELDS[[#This Row],[SHEET_REF_RENTAL]]&lt;&gt;"",DB_TBL_DATA_FIELDS[[#This Row],[SHEET_REF_RENTAL]],""))</f>
        <v>RentalApp</v>
      </c>
      <c r="D189" s="1" t="s">
        <v>2883</v>
      </c>
      <c r="E189" s="91" t="b">
        <v>1</v>
      </c>
      <c r="F189" s="25" t="b">
        <v>0</v>
      </c>
      <c r="G189" s="6" t="s">
        <v>2917</v>
      </c>
      <c r="H189" s="58" t="str">
        <f ca="1">IFERROR(VLOOKUP(DB_TBL_DATA_FIELDS[[#This Row],[FIELD_ID]],INDIRECT(DB_TBL_DATA_FIELDS[[#This Row],[SHEET_REF_CALC]]&amp;"!A:B"),2,FALSE),"")</f>
        <v/>
      </c>
      <c r="I189" s="11"/>
      <c r="J189" s="6" t="b">
        <f ca="1">(DB_TBL_DATA_FIELDS[[#This Row],[FIELD_VALUE_RAW]]="")</f>
        <v>1</v>
      </c>
      <c r="K189" s="6" t="s">
        <v>62</v>
      </c>
      <c r="L189" s="8" t="b">
        <f ca="1">AND(IF(DB_TBL_DATA_FIELDS[[#This Row],[FIELD_VALID_CUSTOM_LOGIC]]="",TRUE,DB_TBL_DATA_FIELDS[[#This Row],[FIELD_VALID_CUSTOM_LOGIC]]),DB_TBL_DATA_FIELDS[[#This Row],[RANGE_VALIDATION_PASSED_FLAG]])</f>
        <v>0</v>
      </c>
      <c r="M189"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89" s="8">
        <f ca="1">IF(DB_TBL_DATA_FIELDS[[#This Row],[SHEET_REF_CALC]]="","",IF(DB_TBL_DATA_FIELDS[[#This Row],[FIELD_EMPTY_FLAG]],IF(NOT(DB_TBL_DATA_FIELDS[[#This Row],[FIELD_REQ_FLAG]]),-1,1),IF(NOT(DB_TBL_DATA_FIELDS[[#This Row],[FIELD_VALID_FLAG]]),0,2)))</f>
        <v>-1</v>
      </c>
      <c r="O189" s="8" t="str">
        <f ca="1">IFERROR(VLOOKUP(DB_TBL_DATA_FIELDS[[#This Row],[FIELD_STATUS_CODE]],DB_TBL_CONFIG_FIELDSTATUSCODES[#All],3,FALSE),"")</f>
        <v>Optional</v>
      </c>
      <c r="P189" s="8" t="str">
        <f ca="1">IFERROR(VLOOKUP(DB_TBL_DATA_FIELDS[[#This Row],[FIELD_STATUS_CODE]],DB_TBL_CONFIG_FIELDSTATUSCODES[#All],4,FALSE),"")</f>
        <v xml:space="preserve"> </v>
      </c>
      <c r="Q189" s="8" t="b">
        <f>TRUE</f>
        <v>1</v>
      </c>
      <c r="R189" s="8" t="b">
        <f>TRUE</f>
        <v>1</v>
      </c>
      <c r="S189" s="4" t="s">
        <v>62</v>
      </c>
      <c r="T189" s="8">
        <f ca="1">IF(DB_TBL_DATA_FIELDS[[#This Row],[RANGE_VALIDATION_FLAG]]="Text",LEN(DB_TBL_DATA_FIELDS[[#This Row],[FIELD_VALUE_RAW]]),IFERROR(VALUE(DB_TBL_DATA_FIELDS[[#This Row],[FIELD_VALUE_RAW]]),-1))</f>
        <v>-1</v>
      </c>
      <c r="U189" s="8">
        <v>0</v>
      </c>
      <c r="V189" s="8">
        <v>999999999999</v>
      </c>
      <c r="W189" s="8" t="b">
        <f ca="1">IF(NOT(DB_TBL_DATA_FIELDS[[#This Row],[RANGE_VALIDATION_ON_FLAG]]),TRUE,
AND(DB_TBL_DATA_FIELDS[[#This Row],[RANGE_VALUE_LEN]]&gt;=DB_TBL_DATA_FIELDS[[#This Row],[RANGE_VALIDATION_MIN]],DB_TBL_DATA_FIELDS[[#This Row],[RANGE_VALUE_LEN]]&lt;=DB_TBL_DATA_FIELDS[[#This Row],[RANGE_VALIDATION_MAX]]))</f>
        <v>0</v>
      </c>
      <c r="X189" s="8">
        <v>1</v>
      </c>
      <c r="Y189" s="8">
        <f ca="1">IF(DB_TBL_DATA_FIELDS[[#This Row],[PCT_CALC_SHOW_STATUS_CODE]]=1,
DB_TBL_DATA_FIELDS[[#This Row],[FIELD_STATUS_CODE]],
IF(AND(DB_TBL_DATA_FIELDS[[#This Row],[PCT_CALC_SHOW_STATUS_CODE]]=2,DB_TBL_DATA_FIELDS[[#This Row],[FIELD_STATUS_CODE]]=0),
DB_TBL_DATA_FIELDS[[#This Row],[FIELD_STATUS_CODE]],
"")
)</f>
        <v>-1</v>
      </c>
      <c r="Z189" s="8"/>
      <c r="AA189" s="11" t="s">
        <v>2925</v>
      </c>
      <c r="AB189" s="11" t="s">
        <v>2873</v>
      </c>
      <c r="AC189" s="8"/>
    </row>
    <row r="190" spans="1:29" x14ac:dyDescent="0.2">
      <c r="A190" s="4" t="s">
        <v>65</v>
      </c>
      <c r="B190" s="4" t="s">
        <v>64</v>
      </c>
      <c r="C190" s="16" t="str">
        <f ca="1">IF($H$10&lt;&gt;"R",IF(DB_TBL_DATA_FIELDS[[#This Row],[SHEET_REF_OWNER]]&lt;&gt;"",DB_TBL_DATA_FIELDS[[#This Row],[SHEET_REF_OWNER]],""),IF(DB_TBL_DATA_FIELDS[[#This Row],[SHEET_REF_RENTAL]]&lt;&gt;"",DB_TBL_DATA_FIELDS[[#This Row],[SHEET_REF_RENTAL]],""))</f>
        <v>RentalApp</v>
      </c>
      <c r="D190" s="1" t="s">
        <v>2880</v>
      </c>
      <c r="E190" s="91" t="b">
        <v>1</v>
      </c>
      <c r="F190" s="25" t="b">
        <v>0</v>
      </c>
      <c r="G190" s="6" t="s">
        <v>2919</v>
      </c>
      <c r="H190" s="58" t="str">
        <f ca="1">IFERROR(VLOOKUP(DB_TBL_DATA_FIELDS[[#This Row],[FIELD_ID]],INDIRECT(DB_TBL_DATA_FIELDS[[#This Row],[SHEET_REF_CALC]]&amp;"!A:B"),2,FALSE),"")</f>
        <v/>
      </c>
      <c r="I190" s="11"/>
      <c r="J190" s="6" t="b">
        <f ca="1">(DB_TBL_DATA_FIELDS[[#This Row],[FIELD_VALUE_RAW]]="")</f>
        <v>1</v>
      </c>
      <c r="K190" s="6" t="s">
        <v>62</v>
      </c>
      <c r="L190" s="8" t="b">
        <f ca="1">AND(IF(DB_TBL_DATA_FIELDS[[#This Row],[FIELD_VALID_CUSTOM_LOGIC]]="",TRUE,DB_TBL_DATA_FIELDS[[#This Row],[FIELD_VALID_CUSTOM_LOGIC]]),DB_TBL_DATA_FIELDS[[#This Row],[RANGE_VALIDATION_PASSED_FLAG]])</f>
        <v>0</v>
      </c>
      <c r="M190"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90" s="8">
        <f ca="1">IF(DB_TBL_DATA_FIELDS[[#This Row],[SHEET_REF_CALC]]="","",IF(DB_TBL_DATA_FIELDS[[#This Row],[FIELD_EMPTY_FLAG]],IF(NOT(DB_TBL_DATA_FIELDS[[#This Row],[FIELD_REQ_FLAG]]),-1,1),IF(NOT(DB_TBL_DATA_FIELDS[[#This Row],[FIELD_VALID_FLAG]]),0,2)))</f>
        <v>-1</v>
      </c>
      <c r="O190" s="8" t="str">
        <f ca="1">IFERROR(VLOOKUP(DB_TBL_DATA_FIELDS[[#This Row],[FIELD_STATUS_CODE]],DB_TBL_CONFIG_FIELDSTATUSCODES[#All],3,FALSE),"")</f>
        <v>Optional</v>
      </c>
      <c r="P190" s="8" t="str">
        <f ca="1">IFERROR(VLOOKUP(DB_TBL_DATA_FIELDS[[#This Row],[FIELD_STATUS_CODE]],DB_TBL_CONFIG_FIELDSTATUSCODES[#All],4,FALSE),"")</f>
        <v xml:space="preserve"> </v>
      </c>
      <c r="Q190" s="8" t="b">
        <f>TRUE</f>
        <v>1</v>
      </c>
      <c r="R190" s="8" t="b">
        <f>TRUE</f>
        <v>1</v>
      </c>
      <c r="S190" s="4" t="s">
        <v>62</v>
      </c>
      <c r="T190" s="8">
        <f ca="1">IF(DB_TBL_DATA_FIELDS[[#This Row],[RANGE_VALIDATION_FLAG]]="Text",LEN(DB_TBL_DATA_FIELDS[[#This Row],[FIELD_VALUE_RAW]]),IFERROR(VALUE(DB_TBL_DATA_FIELDS[[#This Row],[FIELD_VALUE_RAW]]),-1))</f>
        <v>-1</v>
      </c>
      <c r="U190" s="8">
        <v>0</v>
      </c>
      <c r="V190" s="8">
        <v>999999999999</v>
      </c>
      <c r="W190" s="8" t="b">
        <f ca="1">IF(NOT(DB_TBL_DATA_FIELDS[[#This Row],[RANGE_VALIDATION_ON_FLAG]]),TRUE,
AND(DB_TBL_DATA_FIELDS[[#This Row],[RANGE_VALUE_LEN]]&gt;=DB_TBL_DATA_FIELDS[[#This Row],[RANGE_VALIDATION_MIN]],DB_TBL_DATA_FIELDS[[#This Row],[RANGE_VALUE_LEN]]&lt;=DB_TBL_DATA_FIELDS[[#This Row],[RANGE_VALIDATION_MAX]]))</f>
        <v>0</v>
      </c>
      <c r="X190" s="8">
        <v>1</v>
      </c>
      <c r="Y190" s="8">
        <f ca="1">IF(DB_TBL_DATA_FIELDS[[#This Row],[PCT_CALC_SHOW_STATUS_CODE]]=1,
DB_TBL_DATA_FIELDS[[#This Row],[FIELD_STATUS_CODE]],
IF(AND(DB_TBL_DATA_FIELDS[[#This Row],[PCT_CALC_SHOW_STATUS_CODE]]=2,DB_TBL_DATA_FIELDS[[#This Row],[FIELD_STATUS_CODE]]=0),
DB_TBL_DATA_FIELDS[[#This Row],[FIELD_STATUS_CODE]],
"")
)</f>
        <v>-1</v>
      </c>
      <c r="Z190" s="8"/>
      <c r="AA190" s="11" t="s">
        <v>2925</v>
      </c>
      <c r="AB190" s="11" t="s">
        <v>2873</v>
      </c>
      <c r="AC190" s="8"/>
    </row>
    <row r="191" spans="1:29" x14ac:dyDescent="0.2">
      <c r="A191" s="4" t="s">
        <v>65</v>
      </c>
      <c r="B191" s="4" t="s">
        <v>64</v>
      </c>
      <c r="C191" s="16" t="str">
        <f ca="1">IF($H$10&lt;&gt;"R",IF(DB_TBL_DATA_FIELDS[[#This Row],[SHEET_REF_OWNER]]&lt;&gt;"",DB_TBL_DATA_FIELDS[[#This Row],[SHEET_REF_OWNER]],""),IF(DB_TBL_DATA_FIELDS[[#This Row],[SHEET_REF_RENTAL]]&lt;&gt;"",DB_TBL_DATA_FIELDS[[#This Row],[SHEET_REF_RENTAL]],""))</f>
        <v>RentalApp</v>
      </c>
      <c r="D191" s="1" t="s">
        <v>3400</v>
      </c>
      <c r="E191" s="91" t="b">
        <v>1</v>
      </c>
      <c r="F191" s="25" t="b">
        <v>0</v>
      </c>
      <c r="G191" s="6" t="s">
        <v>3402</v>
      </c>
      <c r="H191" s="33" t="str">
        <f ca="1">IFERROR(VLOOKUP(DB_TBL_DATA_FIELDS[[#This Row],[FIELD_ID]],INDIRECT(DB_TBL_DATA_FIELDS[[#This Row],[SHEET_REF_CALC]]&amp;"!A:B"),2,FALSE),"")</f>
        <v/>
      </c>
      <c r="I191" s="11"/>
      <c r="J191" s="6" t="b">
        <f ca="1">(DB_TBL_DATA_FIELDS[[#This Row],[FIELD_VALUE_RAW]]="")</f>
        <v>1</v>
      </c>
      <c r="K191" s="6" t="s">
        <v>62</v>
      </c>
      <c r="L191" s="8" t="b">
        <f ca="1">AND(IF(DB_TBL_DATA_FIELDS[[#This Row],[FIELD_VALID_CUSTOM_LOGIC]]="",TRUE,DB_TBL_DATA_FIELDS[[#This Row],[FIELD_VALID_CUSTOM_LOGIC]]),DB_TBL_DATA_FIELDS[[#This Row],[RANGE_VALIDATION_PASSED_FLAG]])</f>
        <v>0</v>
      </c>
      <c r="M191"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91" s="8">
        <f ca="1">IF(DB_TBL_DATA_FIELDS[[#This Row],[SHEET_REF_CALC]]="","",IF(DB_TBL_DATA_FIELDS[[#This Row],[FIELD_EMPTY_FLAG]],IF(NOT(DB_TBL_DATA_FIELDS[[#This Row],[FIELD_REQ_FLAG]]),-1,1),IF(NOT(DB_TBL_DATA_FIELDS[[#This Row],[FIELD_VALID_FLAG]]),0,2)))</f>
        <v>-1</v>
      </c>
      <c r="O191" s="8" t="str">
        <f ca="1">IFERROR(VLOOKUP(DB_TBL_DATA_FIELDS[[#This Row],[FIELD_STATUS_CODE]],DB_TBL_CONFIG_FIELDSTATUSCODES[#All],3,FALSE),"")</f>
        <v>Optional</v>
      </c>
      <c r="P191" s="8" t="str">
        <f ca="1">IFERROR(VLOOKUP(DB_TBL_DATA_FIELDS[[#This Row],[FIELD_STATUS_CODE]],DB_TBL_CONFIG_FIELDSTATUSCODES[#All],4,FALSE),"")</f>
        <v xml:space="preserve"> </v>
      </c>
      <c r="Q191" s="8" t="b">
        <f>TRUE</f>
        <v>1</v>
      </c>
      <c r="R191" s="8" t="b">
        <f>TRUE</f>
        <v>1</v>
      </c>
      <c r="S191" s="4" t="s">
        <v>62</v>
      </c>
      <c r="T191" s="8">
        <f ca="1">IF(DB_TBL_DATA_FIELDS[[#This Row],[RANGE_VALIDATION_FLAG]]="Text",LEN(DB_TBL_DATA_FIELDS[[#This Row],[FIELD_VALUE_RAW]]),IFERROR(VALUE(DB_TBL_DATA_FIELDS[[#This Row],[FIELD_VALUE_RAW]]),-1))</f>
        <v>-1</v>
      </c>
      <c r="U191" s="8">
        <v>0</v>
      </c>
      <c r="V191" s="8">
        <v>999999999999</v>
      </c>
      <c r="W191" s="8" t="b">
        <f ca="1">IF(NOT(DB_TBL_DATA_FIELDS[[#This Row],[RANGE_VALIDATION_ON_FLAG]]),TRUE,
AND(DB_TBL_DATA_FIELDS[[#This Row],[RANGE_VALUE_LEN]]&gt;=DB_TBL_DATA_FIELDS[[#This Row],[RANGE_VALIDATION_MIN]],DB_TBL_DATA_FIELDS[[#This Row],[RANGE_VALUE_LEN]]&lt;=DB_TBL_DATA_FIELDS[[#This Row],[RANGE_VALIDATION_MAX]]))</f>
        <v>0</v>
      </c>
      <c r="X191" s="8">
        <v>1</v>
      </c>
      <c r="Y191" s="8">
        <f ca="1">IF(DB_TBL_DATA_FIELDS[[#This Row],[PCT_CALC_SHOW_STATUS_CODE]]=1,
DB_TBL_DATA_FIELDS[[#This Row],[FIELD_STATUS_CODE]],
IF(AND(DB_TBL_DATA_FIELDS[[#This Row],[PCT_CALC_SHOW_STATUS_CODE]]=2,DB_TBL_DATA_FIELDS[[#This Row],[FIELD_STATUS_CODE]]=0),
DB_TBL_DATA_FIELDS[[#This Row],[FIELD_STATUS_CODE]],
"")
)</f>
        <v>-1</v>
      </c>
      <c r="Z191" s="8"/>
      <c r="AA191" s="11" t="s">
        <v>2925</v>
      </c>
      <c r="AB191" s="11" t="s">
        <v>2873</v>
      </c>
      <c r="AC191" s="8" t="s">
        <v>3408</v>
      </c>
    </row>
    <row r="192" spans="1:29" x14ac:dyDescent="0.2">
      <c r="A192" s="4" t="s">
        <v>65</v>
      </c>
      <c r="B192" s="4" t="s">
        <v>64</v>
      </c>
      <c r="C192" s="16" t="str">
        <f ca="1">IF($H$10&lt;&gt;"R",IF(DB_TBL_DATA_FIELDS[[#This Row],[SHEET_REF_OWNER]]&lt;&gt;"",DB_TBL_DATA_FIELDS[[#This Row],[SHEET_REF_OWNER]],""),IF(DB_TBL_DATA_FIELDS[[#This Row],[SHEET_REF_RENTAL]]&lt;&gt;"",DB_TBL_DATA_FIELDS[[#This Row],[SHEET_REF_RENTAL]],""))</f>
        <v>RentalApp</v>
      </c>
      <c r="D192" s="1" t="s">
        <v>3401</v>
      </c>
      <c r="E192" s="91" t="b">
        <v>1</v>
      </c>
      <c r="F192" s="25" t="b">
        <v>0</v>
      </c>
      <c r="G192" s="6" t="s">
        <v>3403</v>
      </c>
      <c r="H192" s="33" t="str">
        <f ca="1">IFERROR(VLOOKUP(DB_TBL_DATA_FIELDS[[#This Row],[FIELD_ID]],INDIRECT(DB_TBL_DATA_FIELDS[[#This Row],[SHEET_REF_CALC]]&amp;"!A:B"),2,FALSE),"")</f>
        <v/>
      </c>
      <c r="I192" s="11"/>
      <c r="J192" s="6" t="b">
        <f ca="1">(DB_TBL_DATA_FIELDS[[#This Row],[FIELD_VALUE_RAW]]="")</f>
        <v>1</v>
      </c>
      <c r="K192" s="6" t="s">
        <v>62</v>
      </c>
      <c r="L192" s="8" t="b">
        <f ca="1">AND(IF(DB_TBL_DATA_FIELDS[[#This Row],[FIELD_VALID_CUSTOM_LOGIC]]="",TRUE,DB_TBL_DATA_FIELDS[[#This Row],[FIELD_VALID_CUSTOM_LOGIC]]),DB_TBL_DATA_FIELDS[[#This Row],[RANGE_VALIDATION_PASSED_FLAG]])</f>
        <v>0</v>
      </c>
      <c r="M192"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92" s="8">
        <f ca="1">IF(DB_TBL_DATA_FIELDS[[#This Row],[SHEET_REF_CALC]]="","",IF(DB_TBL_DATA_FIELDS[[#This Row],[FIELD_EMPTY_FLAG]],IF(NOT(DB_TBL_DATA_FIELDS[[#This Row],[FIELD_REQ_FLAG]]),-1,1),IF(NOT(DB_TBL_DATA_FIELDS[[#This Row],[FIELD_VALID_FLAG]]),0,2)))</f>
        <v>-1</v>
      </c>
      <c r="O192" s="8" t="str">
        <f ca="1">IFERROR(VLOOKUP(DB_TBL_DATA_FIELDS[[#This Row],[FIELD_STATUS_CODE]],DB_TBL_CONFIG_FIELDSTATUSCODES[#All],3,FALSE),"")</f>
        <v>Optional</v>
      </c>
      <c r="P192" s="8" t="str">
        <f ca="1">IFERROR(VLOOKUP(DB_TBL_DATA_FIELDS[[#This Row],[FIELD_STATUS_CODE]],DB_TBL_CONFIG_FIELDSTATUSCODES[#All],4,FALSE),"")</f>
        <v xml:space="preserve"> </v>
      </c>
      <c r="Q192" s="8" t="b">
        <f>TRUE</f>
        <v>1</v>
      </c>
      <c r="R192" s="8" t="b">
        <f>TRUE</f>
        <v>1</v>
      </c>
      <c r="S192" s="4" t="s">
        <v>62</v>
      </c>
      <c r="T192" s="8">
        <f ca="1">IF(DB_TBL_DATA_FIELDS[[#This Row],[RANGE_VALIDATION_FLAG]]="Text",LEN(DB_TBL_DATA_FIELDS[[#This Row],[FIELD_VALUE_RAW]]),IFERROR(VALUE(DB_TBL_DATA_FIELDS[[#This Row],[FIELD_VALUE_RAW]]),-1))</f>
        <v>-1</v>
      </c>
      <c r="U192" s="8">
        <v>0</v>
      </c>
      <c r="V192" s="8">
        <v>999999999999</v>
      </c>
      <c r="W192" s="8" t="b">
        <f ca="1">IF(NOT(DB_TBL_DATA_FIELDS[[#This Row],[RANGE_VALIDATION_ON_FLAG]]),TRUE,
AND(DB_TBL_DATA_FIELDS[[#This Row],[RANGE_VALUE_LEN]]&gt;=DB_TBL_DATA_FIELDS[[#This Row],[RANGE_VALIDATION_MIN]],DB_TBL_DATA_FIELDS[[#This Row],[RANGE_VALUE_LEN]]&lt;=DB_TBL_DATA_FIELDS[[#This Row],[RANGE_VALIDATION_MAX]]))</f>
        <v>0</v>
      </c>
      <c r="X192" s="8">
        <v>1</v>
      </c>
      <c r="Y192" s="8">
        <f ca="1">IF(DB_TBL_DATA_FIELDS[[#This Row],[PCT_CALC_SHOW_STATUS_CODE]]=1,
DB_TBL_DATA_FIELDS[[#This Row],[FIELD_STATUS_CODE]],
IF(AND(DB_TBL_DATA_FIELDS[[#This Row],[PCT_CALC_SHOW_STATUS_CODE]]=2,DB_TBL_DATA_FIELDS[[#This Row],[FIELD_STATUS_CODE]]=0),
DB_TBL_DATA_FIELDS[[#This Row],[FIELD_STATUS_CODE]],
"")
)</f>
        <v>-1</v>
      </c>
      <c r="Z192" s="8"/>
      <c r="AA192" s="11" t="s">
        <v>2925</v>
      </c>
      <c r="AB192" s="11" t="s">
        <v>2873</v>
      </c>
      <c r="AC192" s="8" t="s">
        <v>3408</v>
      </c>
    </row>
    <row r="193" spans="1:29" x14ac:dyDescent="0.2">
      <c r="A193" s="4" t="s">
        <v>65</v>
      </c>
      <c r="B193" s="4" t="s">
        <v>64</v>
      </c>
      <c r="C193" s="16" t="str">
        <f ca="1">IF($H$10&lt;&gt;"R",IF(DB_TBL_DATA_FIELDS[[#This Row],[SHEET_REF_OWNER]]&lt;&gt;"",DB_TBL_DATA_FIELDS[[#This Row],[SHEET_REF_OWNER]],""),IF(DB_TBL_DATA_FIELDS[[#This Row],[SHEET_REF_RENTAL]]&lt;&gt;"",DB_TBL_DATA_FIELDS[[#This Row],[SHEET_REF_RENTAL]],""))</f>
        <v>RentalApp</v>
      </c>
      <c r="D193" s="4" t="s">
        <v>2879</v>
      </c>
      <c r="E193" s="91" t="b">
        <v>1</v>
      </c>
      <c r="F193" s="41" t="b">
        <f ca="1">NOT(J181)</f>
        <v>0</v>
      </c>
      <c r="G193" s="6" t="s">
        <v>2902</v>
      </c>
      <c r="H193" s="58" t="str">
        <f ca="1">IFERROR(VLOOKUP(DB_TBL_DATA_FIELDS[[#This Row],[FIELD_ID]],INDIRECT(DB_TBL_DATA_FIELDS[[#This Row],[SHEET_REF_CALC]]&amp;"!A:B"),2,FALSE),"")</f>
        <v/>
      </c>
      <c r="I193" s="29" t="str">
        <f ca="1">IF(DB_TBL_DATA_FIELDS[[#This Row],[FIELD_EMPTY_FLAG]],"",AND(NOT(J181),COUNTIF($H$193:$H$204,DB_TBL_DATA_FIELDS[[#This Row],[FIELD_VALUE_RAW]])&lt;=1))</f>
        <v/>
      </c>
      <c r="J193" s="6" t="b">
        <f ca="1">(DB_TBL_DATA_FIELDS[[#This Row],[FIELD_VALUE_RAW]]="")</f>
        <v>1</v>
      </c>
      <c r="K193" s="6" t="s">
        <v>62</v>
      </c>
      <c r="L193" s="8" t="b">
        <f ca="1">AND(IF(DB_TBL_DATA_FIELDS[[#This Row],[FIELD_VALID_CUSTOM_LOGIC]]="",TRUE,DB_TBL_DATA_FIELDS[[#This Row],[FIELD_VALID_CUSTOM_LOGIC]]),DB_TBL_DATA_FIELDS[[#This Row],[RANGE_VALIDATION_PASSED_FLAG]])</f>
        <v>0</v>
      </c>
      <c r="M193"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93" s="8">
        <f ca="1">IF(DB_TBL_DATA_FIELDS[[#This Row],[SHEET_REF_CALC]]="","",IF(DB_TBL_DATA_FIELDS[[#This Row],[FIELD_EMPTY_FLAG]],IF(NOT(DB_TBL_DATA_FIELDS[[#This Row],[FIELD_REQ_FLAG]]),-1,1),IF(NOT(DB_TBL_DATA_FIELDS[[#This Row],[FIELD_VALID_FLAG]]),0,2)))</f>
        <v>-1</v>
      </c>
      <c r="O193" s="8" t="str">
        <f ca="1">IFERROR(VLOOKUP(DB_TBL_DATA_FIELDS[[#This Row],[FIELD_STATUS_CODE]],DB_TBL_CONFIG_FIELDSTATUSCODES[#All],3,FALSE),"")</f>
        <v>Optional</v>
      </c>
      <c r="P193" s="8" t="str">
        <f ca="1">IFERROR(VLOOKUP(DB_TBL_DATA_FIELDS[[#This Row],[FIELD_STATUS_CODE]],DB_TBL_CONFIG_FIELDSTATUSCODES[#All],4,FALSE),"")</f>
        <v xml:space="preserve"> </v>
      </c>
      <c r="Q193" s="8" t="b">
        <f>TRUE</f>
        <v>1</v>
      </c>
      <c r="R193" s="8" t="b">
        <f>TRUE</f>
        <v>1</v>
      </c>
      <c r="S193" s="4" t="s">
        <v>62</v>
      </c>
      <c r="T193" s="8">
        <f ca="1">IF(DB_TBL_DATA_FIELDS[[#This Row],[RANGE_VALIDATION_FLAG]]="Text",LEN(DB_TBL_DATA_FIELDS[[#This Row],[FIELD_VALUE_RAW]]),IFERROR(VALUE(DB_TBL_DATA_FIELDS[[#This Row],[FIELD_VALUE_RAW]]),-1))</f>
        <v>-1</v>
      </c>
      <c r="U193" s="8">
        <v>0</v>
      </c>
      <c r="V193" s="34">
        <v>0.8</v>
      </c>
      <c r="W193" s="8" t="b">
        <f ca="1">IF(NOT(DB_TBL_DATA_FIELDS[[#This Row],[RANGE_VALIDATION_ON_FLAG]]),TRUE,
AND(DB_TBL_DATA_FIELDS[[#This Row],[RANGE_VALUE_LEN]]&gt;=DB_TBL_DATA_FIELDS[[#This Row],[RANGE_VALIDATION_MIN]],DB_TBL_DATA_FIELDS[[#This Row],[RANGE_VALUE_LEN]]&lt;=DB_TBL_DATA_FIELDS[[#This Row],[RANGE_VALIDATION_MAX]]))</f>
        <v>0</v>
      </c>
      <c r="X193" s="8">
        <v>1</v>
      </c>
      <c r="Y193" s="8">
        <f ca="1">IF(DB_TBL_DATA_FIELDS[[#This Row],[PCT_CALC_SHOW_STATUS_CODE]]=1,
DB_TBL_DATA_FIELDS[[#This Row],[FIELD_STATUS_CODE]],
IF(AND(DB_TBL_DATA_FIELDS[[#This Row],[PCT_CALC_SHOW_STATUS_CODE]]=2,DB_TBL_DATA_FIELDS[[#This Row],[FIELD_STATUS_CODE]]=0),
DB_TBL_DATA_FIELDS[[#This Row],[FIELD_STATUS_CODE]],
"")
)</f>
        <v>-1</v>
      </c>
      <c r="Z193" s="8"/>
      <c r="AA193" s="11" t="s">
        <v>2925</v>
      </c>
      <c r="AB193" s="11" t="s">
        <v>2873</v>
      </c>
      <c r="AC193" s="8"/>
    </row>
    <row r="194" spans="1:29" x14ac:dyDescent="0.2">
      <c r="A194" s="4" t="s">
        <v>65</v>
      </c>
      <c r="B194" s="4" t="s">
        <v>64</v>
      </c>
      <c r="C194" s="16" t="str">
        <f ca="1">IF($H$10&lt;&gt;"R",IF(DB_TBL_DATA_FIELDS[[#This Row],[SHEET_REF_OWNER]]&lt;&gt;"",DB_TBL_DATA_FIELDS[[#This Row],[SHEET_REF_OWNER]],""),IF(DB_TBL_DATA_FIELDS[[#This Row],[SHEET_REF_RENTAL]]&lt;&gt;"",DB_TBL_DATA_FIELDS[[#This Row],[SHEET_REF_RENTAL]],""))</f>
        <v>RentalApp</v>
      </c>
      <c r="D194" s="4" t="s">
        <v>2896</v>
      </c>
      <c r="E194" s="91" t="b">
        <v>1</v>
      </c>
      <c r="F194" s="41" t="b">
        <f t="shared" ref="F194:F202" ca="1" si="3">NOT(J182)</f>
        <v>0</v>
      </c>
      <c r="G194" s="6" t="s">
        <v>2904</v>
      </c>
      <c r="H194" s="58" t="str">
        <f ca="1">IFERROR(VLOOKUP(DB_TBL_DATA_FIELDS[[#This Row],[FIELD_ID]],INDIRECT(DB_TBL_DATA_FIELDS[[#This Row],[SHEET_REF_CALC]]&amp;"!A:B"),2,FALSE),"")</f>
        <v/>
      </c>
      <c r="I194" s="29" t="str">
        <f ca="1">IF(DB_TBL_DATA_FIELDS[[#This Row],[FIELD_EMPTY_FLAG]],"",AND(NOT(J182),COUNTIF($H$193:$H$204,DB_TBL_DATA_FIELDS[[#This Row],[FIELD_VALUE_RAW]])&lt;=1))</f>
        <v/>
      </c>
      <c r="J194" s="6" t="b">
        <f ca="1">(DB_TBL_DATA_FIELDS[[#This Row],[FIELD_VALUE_RAW]]="")</f>
        <v>1</v>
      </c>
      <c r="K194" s="6" t="s">
        <v>62</v>
      </c>
      <c r="L194" s="8" t="b">
        <f ca="1">AND(IF(DB_TBL_DATA_FIELDS[[#This Row],[FIELD_VALID_CUSTOM_LOGIC]]="",TRUE,DB_TBL_DATA_FIELDS[[#This Row],[FIELD_VALID_CUSTOM_LOGIC]]),DB_TBL_DATA_FIELDS[[#This Row],[RANGE_VALIDATION_PASSED_FLAG]])</f>
        <v>0</v>
      </c>
      <c r="M194"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94" s="8">
        <f ca="1">IF(DB_TBL_DATA_FIELDS[[#This Row],[SHEET_REF_CALC]]="","",IF(DB_TBL_DATA_FIELDS[[#This Row],[FIELD_EMPTY_FLAG]],IF(NOT(DB_TBL_DATA_FIELDS[[#This Row],[FIELD_REQ_FLAG]]),-1,1),IF(NOT(DB_TBL_DATA_FIELDS[[#This Row],[FIELD_VALID_FLAG]]),0,2)))</f>
        <v>-1</v>
      </c>
      <c r="O194" s="8" t="str">
        <f ca="1">IFERROR(VLOOKUP(DB_TBL_DATA_FIELDS[[#This Row],[FIELD_STATUS_CODE]],DB_TBL_CONFIG_FIELDSTATUSCODES[#All],3,FALSE),"")</f>
        <v>Optional</v>
      </c>
      <c r="P194" s="8" t="str">
        <f ca="1">IFERROR(VLOOKUP(DB_TBL_DATA_FIELDS[[#This Row],[FIELD_STATUS_CODE]],DB_TBL_CONFIG_FIELDSTATUSCODES[#All],4,FALSE),"")</f>
        <v xml:space="preserve"> </v>
      </c>
      <c r="Q194" s="8" t="b">
        <f>TRUE</f>
        <v>1</v>
      </c>
      <c r="R194" s="8" t="b">
        <f>TRUE</f>
        <v>1</v>
      </c>
      <c r="S194" s="4" t="s">
        <v>62</v>
      </c>
      <c r="T194" s="8">
        <f ca="1">IF(DB_TBL_DATA_FIELDS[[#This Row],[RANGE_VALIDATION_FLAG]]="Text",LEN(DB_TBL_DATA_FIELDS[[#This Row],[FIELD_VALUE_RAW]]),IFERROR(VALUE(DB_TBL_DATA_FIELDS[[#This Row],[FIELD_VALUE_RAW]]),-1))</f>
        <v>-1</v>
      </c>
      <c r="U194" s="8">
        <v>0</v>
      </c>
      <c r="V194" s="34">
        <v>0.8</v>
      </c>
      <c r="W194" s="8" t="b">
        <f ca="1">IF(NOT(DB_TBL_DATA_FIELDS[[#This Row],[RANGE_VALIDATION_ON_FLAG]]),TRUE,
AND(DB_TBL_DATA_FIELDS[[#This Row],[RANGE_VALUE_LEN]]&gt;=DB_TBL_DATA_FIELDS[[#This Row],[RANGE_VALIDATION_MIN]],DB_TBL_DATA_FIELDS[[#This Row],[RANGE_VALUE_LEN]]&lt;=DB_TBL_DATA_FIELDS[[#This Row],[RANGE_VALIDATION_MAX]]))</f>
        <v>0</v>
      </c>
      <c r="X194" s="8">
        <v>1</v>
      </c>
      <c r="Y194" s="8">
        <f ca="1">IF(DB_TBL_DATA_FIELDS[[#This Row],[PCT_CALC_SHOW_STATUS_CODE]]=1,
DB_TBL_DATA_FIELDS[[#This Row],[FIELD_STATUS_CODE]],
IF(AND(DB_TBL_DATA_FIELDS[[#This Row],[PCT_CALC_SHOW_STATUS_CODE]]=2,DB_TBL_DATA_FIELDS[[#This Row],[FIELD_STATUS_CODE]]=0),
DB_TBL_DATA_FIELDS[[#This Row],[FIELD_STATUS_CODE]],
"")
)</f>
        <v>-1</v>
      </c>
      <c r="Z194" s="8"/>
      <c r="AA194" s="11" t="s">
        <v>2925</v>
      </c>
      <c r="AB194" s="11" t="s">
        <v>2873</v>
      </c>
      <c r="AC194" s="8"/>
    </row>
    <row r="195" spans="1:29" x14ac:dyDescent="0.2">
      <c r="A195" s="4" t="s">
        <v>65</v>
      </c>
      <c r="B195" s="4" t="s">
        <v>64</v>
      </c>
      <c r="C195" s="16" t="str">
        <f ca="1">IF($H$10&lt;&gt;"R",IF(DB_TBL_DATA_FIELDS[[#This Row],[SHEET_REF_OWNER]]&lt;&gt;"",DB_TBL_DATA_FIELDS[[#This Row],[SHEET_REF_OWNER]],""),IF(DB_TBL_DATA_FIELDS[[#This Row],[SHEET_REF_RENTAL]]&lt;&gt;"",DB_TBL_DATA_FIELDS[[#This Row],[SHEET_REF_RENTAL]],""))</f>
        <v>RentalApp</v>
      </c>
      <c r="D195" s="4" t="s">
        <v>2894</v>
      </c>
      <c r="E195" s="91" t="b">
        <v>1</v>
      </c>
      <c r="F195" s="41" t="b">
        <f t="shared" ca="1" si="3"/>
        <v>0</v>
      </c>
      <c r="G195" s="6" t="s">
        <v>2906</v>
      </c>
      <c r="H195" s="58" t="str">
        <f ca="1">IFERROR(VLOOKUP(DB_TBL_DATA_FIELDS[[#This Row],[FIELD_ID]],INDIRECT(DB_TBL_DATA_FIELDS[[#This Row],[SHEET_REF_CALC]]&amp;"!A:B"),2,FALSE),"")</f>
        <v/>
      </c>
      <c r="I195" s="29" t="str">
        <f ca="1">IF(DB_TBL_DATA_FIELDS[[#This Row],[FIELD_EMPTY_FLAG]],"",AND(NOT(J183),COUNTIF($H$193:$H$204,DB_TBL_DATA_FIELDS[[#This Row],[FIELD_VALUE_RAW]])&lt;=1))</f>
        <v/>
      </c>
      <c r="J195" s="6" t="b">
        <f ca="1">(DB_TBL_DATA_FIELDS[[#This Row],[FIELD_VALUE_RAW]]="")</f>
        <v>1</v>
      </c>
      <c r="K195" s="6" t="s">
        <v>62</v>
      </c>
      <c r="L195" s="8" t="b">
        <f ca="1">AND(IF(DB_TBL_DATA_FIELDS[[#This Row],[FIELD_VALID_CUSTOM_LOGIC]]="",TRUE,DB_TBL_DATA_FIELDS[[#This Row],[FIELD_VALID_CUSTOM_LOGIC]]),DB_TBL_DATA_FIELDS[[#This Row],[RANGE_VALIDATION_PASSED_FLAG]])</f>
        <v>0</v>
      </c>
      <c r="M195"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95" s="8">
        <f ca="1">IF(DB_TBL_DATA_FIELDS[[#This Row],[SHEET_REF_CALC]]="","",IF(DB_TBL_DATA_FIELDS[[#This Row],[FIELD_EMPTY_FLAG]],IF(NOT(DB_TBL_DATA_FIELDS[[#This Row],[FIELD_REQ_FLAG]]),-1,1),IF(NOT(DB_TBL_DATA_FIELDS[[#This Row],[FIELD_VALID_FLAG]]),0,2)))</f>
        <v>-1</v>
      </c>
      <c r="O195" s="8" t="str">
        <f ca="1">IFERROR(VLOOKUP(DB_TBL_DATA_FIELDS[[#This Row],[FIELD_STATUS_CODE]],DB_TBL_CONFIG_FIELDSTATUSCODES[#All],3,FALSE),"")</f>
        <v>Optional</v>
      </c>
      <c r="P195" s="8" t="str">
        <f ca="1">IFERROR(VLOOKUP(DB_TBL_DATA_FIELDS[[#This Row],[FIELD_STATUS_CODE]],DB_TBL_CONFIG_FIELDSTATUSCODES[#All],4,FALSE),"")</f>
        <v xml:space="preserve"> </v>
      </c>
      <c r="Q195" s="8" t="b">
        <f>TRUE</f>
        <v>1</v>
      </c>
      <c r="R195" s="8" t="b">
        <f>TRUE</f>
        <v>1</v>
      </c>
      <c r="S195" s="4" t="s">
        <v>62</v>
      </c>
      <c r="T195" s="8">
        <f ca="1">IF(DB_TBL_DATA_FIELDS[[#This Row],[RANGE_VALIDATION_FLAG]]="Text",LEN(DB_TBL_DATA_FIELDS[[#This Row],[FIELD_VALUE_RAW]]),IFERROR(VALUE(DB_TBL_DATA_FIELDS[[#This Row],[FIELD_VALUE_RAW]]),-1))</f>
        <v>-1</v>
      </c>
      <c r="U195" s="8">
        <v>0</v>
      </c>
      <c r="V195" s="34">
        <v>0.8</v>
      </c>
      <c r="W195" s="8" t="b">
        <f ca="1">IF(NOT(DB_TBL_DATA_FIELDS[[#This Row],[RANGE_VALIDATION_ON_FLAG]]),TRUE,
AND(DB_TBL_DATA_FIELDS[[#This Row],[RANGE_VALUE_LEN]]&gt;=DB_TBL_DATA_FIELDS[[#This Row],[RANGE_VALIDATION_MIN]],DB_TBL_DATA_FIELDS[[#This Row],[RANGE_VALUE_LEN]]&lt;=DB_TBL_DATA_FIELDS[[#This Row],[RANGE_VALIDATION_MAX]]))</f>
        <v>0</v>
      </c>
      <c r="X195" s="8">
        <v>1</v>
      </c>
      <c r="Y195" s="8">
        <f ca="1">IF(DB_TBL_DATA_FIELDS[[#This Row],[PCT_CALC_SHOW_STATUS_CODE]]=1,
DB_TBL_DATA_FIELDS[[#This Row],[FIELD_STATUS_CODE]],
IF(AND(DB_TBL_DATA_FIELDS[[#This Row],[PCT_CALC_SHOW_STATUS_CODE]]=2,DB_TBL_DATA_FIELDS[[#This Row],[FIELD_STATUS_CODE]]=0),
DB_TBL_DATA_FIELDS[[#This Row],[FIELD_STATUS_CODE]],
"")
)</f>
        <v>-1</v>
      </c>
      <c r="Z195" s="8"/>
      <c r="AA195" s="11" t="s">
        <v>2925</v>
      </c>
      <c r="AB195" s="11" t="s">
        <v>2873</v>
      </c>
      <c r="AC195" s="8"/>
    </row>
    <row r="196" spans="1:29" x14ac:dyDescent="0.2">
      <c r="A196" s="4" t="s">
        <v>65</v>
      </c>
      <c r="B196" s="4" t="s">
        <v>64</v>
      </c>
      <c r="C196" s="16" t="str">
        <f ca="1">IF($H$10&lt;&gt;"R",IF(DB_TBL_DATA_FIELDS[[#This Row],[SHEET_REF_OWNER]]&lt;&gt;"",DB_TBL_DATA_FIELDS[[#This Row],[SHEET_REF_OWNER]],""),IF(DB_TBL_DATA_FIELDS[[#This Row],[SHEET_REF_RENTAL]]&lt;&gt;"",DB_TBL_DATA_FIELDS[[#This Row],[SHEET_REF_RENTAL]],""))</f>
        <v>RentalApp</v>
      </c>
      <c r="D196" s="4" t="s">
        <v>2892</v>
      </c>
      <c r="E196" s="91" t="b">
        <v>1</v>
      </c>
      <c r="F196" s="41" t="b">
        <f t="shared" ca="1" si="3"/>
        <v>0</v>
      </c>
      <c r="G196" s="6" t="s">
        <v>2908</v>
      </c>
      <c r="H196" s="58" t="str">
        <f ca="1">IFERROR(VLOOKUP(DB_TBL_DATA_FIELDS[[#This Row],[FIELD_ID]],INDIRECT(DB_TBL_DATA_FIELDS[[#This Row],[SHEET_REF_CALC]]&amp;"!A:B"),2,FALSE),"")</f>
        <v/>
      </c>
      <c r="I196" s="29" t="str">
        <f ca="1">IF(DB_TBL_DATA_FIELDS[[#This Row],[FIELD_EMPTY_FLAG]],"",AND(NOT(J184),COUNTIF($H$193:$H$204,DB_TBL_DATA_FIELDS[[#This Row],[FIELD_VALUE_RAW]])&lt;=1))</f>
        <v/>
      </c>
      <c r="J196" s="6" t="b">
        <f ca="1">(DB_TBL_DATA_FIELDS[[#This Row],[FIELD_VALUE_RAW]]="")</f>
        <v>1</v>
      </c>
      <c r="K196" s="6" t="s">
        <v>62</v>
      </c>
      <c r="L196" s="8" t="b">
        <f ca="1">AND(IF(DB_TBL_DATA_FIELDS[[#This Row],[FIELD_VALID_CUSTOM_LOGIC]]="",TRUE,DB_TBL_DATA_FIELDS[[#This Row],[FIELD_VALID_CUSTOM_LOGIC]]),DB_TBL_DATA_FIELDS[[#This Row],[RANGE_VALIDATION_PASSED_FLAG]])</f>
        <v>0</v>
      </c>
      <c r="M196"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96" s="8">
        <f ca="1">IF(DB_TBL_DATA_FIELDS[[#This Row],[SHEET_REF_CALC]]="","",IF(DB_TBL_DATA_FIELDS[[#This Row],[FIELD_EMPTY_FLAG]],IF(NOT(DB_TBL_DATA_FIELDS[[#This Row],[FIELD_REQ_FLAG]]),-1,1),IF(NOT(DB_TBL_DATA_FIELDS[[#This Row],[FIELD_VALID_FLAG]]),0,2)))</f>
        <v>-1</v>
      </c>
      <c r="O196" s="8" t="str">
        <f ca="1">IFERROR(VLOOKUP(DB_TBL_DATA_FIELDS[[#This Row],[FIELD_STATUS_CODE]],DB_TBL_CONFIG_FIELDSTATUSCODES[#All],3,FALSE),"")</f>
        <v>Optional</v>
      </c>
      <c r="P196" s="8" t="str">
        <f ca="1">IFERROR(VLOOKUP(DB_TBL_DATA_FIELDS[[#This Row],[FIELD_STATUS_CODE]],DB_TBL_CONFIG_FIELDSTATUSCODES[#All],4,FALSE),"")</f>
        <v xml:space="preserve"> </v>
      </c>
      <c r="Q196" s="8" t="b">
        <f>TRUE</f>
        <v>1</v>
      </c>
      <c r="R196" s="8" t="b">
        <f>TRUE</f>
        <v>1</v>
      </c>
      <c r="S196" s="4" t="s">
        <v>62</v>
      </c>
      <c r="T196" s="8">
        <f ca="1">IF(DB_TBL_DATA_FIELDS[[#This Row],[RANGE_VALIDATION_FLAG]]="Text",LEN(DB_TBL_DATA_FIELDS[[#This Row],[FIELD_VALUE_RAW]]),IFERROR(VALUE(DB_TBL_DATA_FIELDS[[#This Row],[FIELD_VALUE_RAW]]),-1))</f>
        <v>-1</v>
      </c>
      <c r="U196" s="8">
        <v>0</v>
      </c>
      <c r="V196" s="34">
        <v>0.8</v>
      </c>
      <c r="W196" s="8" t="b">
        <f ca="1">IF(NOT(DB_TBL_DATA_FIELDS[[#This Row],[RANGE_VALIDATION_ON_FLAG]]),TRUE,
AND(DB_TBL_DATA_FIELDS[[#This Row],[RANGE_VALUE_LEN]]&gt;=DB_TBL_DATA_FIELDS[[#This Row],[RANGE_VALIDATION_MIN]],DB_TBL_DATA_FIELDS[[#This Row],[RANGE_VALUE_LEN]]&lt;=DB_TBL_DATA_FIELDS[[#This Row],[RANGE_VALIDATION_MAX]]))</f>
        <v>0</v>
      </c>
      <c r="X196" s="8">
        <v>1</v>
      </c>
      <c r="Y196" s="8">
        <f ca="1">IF(DB_TBL_DATA_FIELDS[[#This Row],[PCT_CALC_SHOW_STATUS_CODE]]=1,
DB_TBL_DATA_FIELDS[[#This Row],[FIELD_STATUS_CODE]],
IF(AND(DB_TBL_DATA_FIELDS[[#This Row],[PCT_CALC_SHOW_STATUS_CODE]]=2,DB_TBL_DATA_FIELDS[[#This Row],[FIELD_STATUS_CODE]]=0),
DB_TBL_DATA_FIELDS[[#This Row],[FIELD_STATUS_CODE]],
"")
)</f>
        <v>-1</v>
      </c>
      <c r="Z196" s="8"/>
      <c r="AA196" s="11" t="s">
        <v>2925</v>
      </c>
      <c r="AB196" s="11" t="s">
        <v>2873</v>
      </c>
      <c r="AC196" s="8"/>
    </row>
    <row r="197" spans="1:29" x14ac:dyDescent="0.2">
      <c r="A197" s="4" t="s">
        <v>65</v>
      </c>
      <c r="B197" s="4" t="s">
        <v>64</v>
      </c>
      <c r="C197" s="16" t="str">
        <f ca="1">IF($H$10&lt;&gt;"R",IF(DB_TBL_DATA_FIELDS[[#This Row],[SHEET_REF_OWNER]]&lt;&gt;"",DB_TBL_DATA_FIELDS[[#This Row],[SHEET_REF_OWNER]],""),IF(DB_TBL_DATA_FIELDS[[#This Row],[SHEET_REF_RENTAL]]&lt;&gt;"",DB_TBL_DATA_FIELDS[[#This Row],[SHEET_REF_RENTAL]],""))</f>
        <v>RentalApp</v>
      </c>
      <c r="D197" s="4" t="s">
        <v>2890</v>
      </c>
      <c r="E197" s="91" t="b">
        <v>1</v>
      </c>
      <c r="F197" s="41" t="b">
        <f t="shared" ca="1" si="3"/>
        <v>0</v>
      </c>
      <c r="G197" s="6" t="s">
        <v>2910</v>
      </c>
      <c r="H197" s="58" t="str">
        <f ca="1">IFERROR(VLOOKUP(DB_TBL_DATA_FIELDS[[#This Row],[FIELD_ID]],INDIRECT(DB_TBL_DATA_FIELDS[[#This Row],[SHEET_REF_CALC]]&amp;"!A:B"),2,FALSE),"")</f>
        <v/>
      </c>
      <c r="I197" s="29" t="str">
        <f ca="1">IF(DB_TBL_DATA_FIELDS[[#This Row],[FIELD_EMPTY_FLAG]],"",AND(NOT(J185),COUNTIF($H$193:$H$204,DB_TBL_DATA_FIELDS[[#This Row],[FIELD_VALUE_RAW]])&lt;=1))</f>
        <v/>
      </c>
      <c r="J197" s="6" t="b">
        <f ca="1">(DB_TBL_DATA_FIELDS[[#This Row],[FIELD_VALUE_RAW]]="")</f>
        <v>1</v>
      </c>
      <c r="K197" s="6" t="s">
        <v>62</v>
      </c>
      <c r="L197" s="8" t="b">
        <f ca="1">AND(IF(DB_TBL_DATA_FIELDS[[#This Row],[FIELD_VALID_CUSTOM_LOGIC]]="",TRUE,DB_TBL_DATA_FIELDS[[#This Row],[FIELD_VALID_CUSTOM_LOGIC]]),DB_TBL_DATA_FIELDS[[#This Row],[RANGE_VALIDATION_PASSED_FLAG]])</f>
        <v>0</v>
      </c>
      <c r="M197"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97" s="8">
        <f ca="1">IF(DB_TBL_DATA_FIELDS[[#This Row],[SHEET_REF_CALC]]="","",IF(DB_TBL_DATA_FIELDS[[#This Row],[FIELD_EMPTY_FLAG]],IF(NOT(DB_TBL_DATA_FIELDS[[#This Row],[FIELD_REQ_FLAG]]),-1,1),IF(NOT(DB_TBL_DATA_FIELDS[[#This Row],[FIELD_VALID_FLAG]]),0,2)))</f>
        <v>-1</v>
      </c>
      <c r="O197" s="8" t="str">
        <f ca="1">IFERROR(VLOOKUP(DB_TBL_DATA_FIELDS[[#This Row],[FIELD_STATUS_CODE]],DB_TBL_CONFIG_FIELDSTATUSCODES[#All],3,FALSE),"")</f>
        <v>Optional</v>
      </c>
      <c r="P197" s="8" t="str">
        <f ca="1">IFERROR(VLOOKUP(DB_TBL_DATA_FIELDS[[#This Row],[FIELD_STATUS_CODE]],DB_TBL_CONFIG_FIELDSTATUSCODES[#All],4,FALSE),"")</f>
        <v xml:space="preserve"> </v>
      </c>
      <c r="Q197" s="8" t="b">
        <f>TRUE</f>
        <v>1</v>
      </c>
      <c r="R197" s="8" t="b">
        <f>TRUE</f>
        <v>1</v>
      </c>
      <c r="S197" s="4" t="s">
        <v>62</v>
      </c>
      <c r="T197" s="8">
        <f ca="1">IF(DB_TBL_DATA_FIELDS[[#This Row],[RANGE_VALIDATION_FLAG]]="Text",LEN(DB_TBL_DATA_FIELDS[[#This Row],[FIELD_VALUE_RAW]]),IFERROR(VALUE(DB_TBL_DATA_FIELDS[[#This Row],[FIELD_VALUE_RAW]]),-1))</f>
        <v>-1</v>
      </c>
      <c r="U197" s="8">
        <v>0</v>
      </c>
      <c r="V197" s="34">
        <v>0.8</v>
      </c>
      <c r="W197" s="8" t="b">
        <f ca="1">IF(NOT(DB_TBL_DATA_FIELDS[[#This Row],[RANGE_VALIDATION_ON_FLAG]]),TRUE,
AND(DB_TBL_DATA_FIELDS[[#This Row],[RANGE_VALUE_LEN]]&gt;=DB_TBL_DATA_FIELDS[[#This Row],[RANGE_VALIDATION_MIN]],DB_TBL_DATA_FIELDS[[#This Row],[RANGE_VALUE_LEN]]&lt;=DB_TBL_DATA_FIELDS[[#This Row],[RANGE_VALIDATION_MAX]]))</f>
        <v>0</v>
      </c>
      <c r="X197" s="8">
        <v>1</v>
      </c>
      <c r="Y197" s="8">
        <f ca="1">IF(DB_TBL_DATA_FIELDS[[#This Row],[PCT_CALC_SHOW_STATUS_CODE]]=1,
DB_TBL_DATA_FIELDS[[#This Row],[FIELD_STATUS_CODE]],
IF(AND(DB_TBL_DATA_FIELDS[[#This Row],[PCT_CALC_SHOW_STATUS_CODE]]=2,DB_TBL_DATA_FIELDS[[#This Row],[FIELD_STATUS_CODE]]=0),
DB_TBL_DATA_FIELDS[[#This Row],[FIELD_STATUS_CODE]],
"")
)</f>
        <v>-1</v>
      </c>
      <c r="Z197" s="8"/>
      <c r="AA197" s="11" t="s">
        <v>2925</v>
      </c>
      <c r="AB197" s="11" t="s">
        <v>2873</v>
      </c>
      <c r="AC197" s="8"/>
    </row>
    <row r="198" spans="1:29" x14ac:dyDescent="0.2">
      <c r="A198" s="4" t="s">
        <v>65</v>
      </c>
      <c r="B198" s="4" t="s">
        <v>64</v>
      </c>
      <c r="C198" s="16" t="str">
        <f ca="1">IF($H$10&lt;&gt;"R",IF(DB_TBL_DATA_FIELDS[[#This Row],[SHEET_REF_OWNER]]&lt;&gt;"",DB_TBL_DATA_FIELDS[[#This Row],[SHEET_REF_OWNER]],""),IF(DB_TBL_DATA_FIELDS[[#This Row],[SHEET_REF_RENTAL]]&lt;&gt;"",DB_TBL_DATA_FIELDS[[#This Row],[SHEET_REF_RENTAL]],""))</f>
        <v>RentalApp</v>
      </c>
      <c r="D198" s="4" t="s">
        <v>2888</v>
      </c>
      <c r="E198" s="91" t="b">
        <v>1</v>
      </c>
      <c r="F198" s="41" t="b">
        <f t="shared" ca="1" si="3"/>
        <v>0</v>
      </c>
      <c r="G198" s="6" t="s">
        <v>2912</v>
      </c>
      <c r="H198" s="58" t="str">
        <f ca="1">IFERROR(VLOOKUP(DB_TBL_DATA_FIELDS[[#This Row],[FIELD_ID]],INDIRECT(DB_TBL_DATA_FIELDS[[#This Row],[SHEET_REF_CALC]]&amp;"!A:B"),2,FALSE),"")</f>
        <v/>
      </c>
      <c r="I198" s="29" t="str">
        <f ca="1">IF(DB_TBL_DATA_FIELDS[[#This Row],[FIELD_EMPTY_FLAG]],"",AND(NOT(J186),COUNTIF($H$193:$H$204,DB_TBL_DATA_FIELDS[[#This Row],[FIELD_VALUE_RAW]])&lt;=1))</f>
        <v/>
      </c>
      <c r="J198" s="6" t="b">
        <f ca="1">(DB_TBL_DATA_FIELDS[[#This Row],[FIELD_VALUE_RAW]]="")</f>
        <v>1</v>
      </c>
      <c r="K198" s="6" t="s">
        <v>62</v>
      </c>
      <c r="L198" s="8" t="b">
        <f ca="1">AND(IF(DB_TBL_DATA_FIELDS[[#This Row],[FIELD_VALID_CUSTOM_LOGIC]]="",TRUE,DB_TBL_DATA_FIELDS[[#This Row],[FIELD_VALID_CUSTOM_LOGIC]]),DB_TBL_DATA_FIELDS[[#This Row],[RANGE_VALIDATION_PASSED_FLAG]])</f>
        <v>0</v>
      </c>
      <c r="M198"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98" s="8">
        <f ca="1">IF(DB_TBL_DATA_FIELDS[[#This Row],[SHEET_REF_CALC]]="","",IF(DB_TBL_DATA_FIELDS[[#This Row],[FIELD_EMPTY_FLAG]],IF(NOT(DB_TBL_DATA_FIELDS[[#This Row],[FIELD_REQ_FLAG]]),-1,1),IF(NOT(DB_TBL_DATA_FIELDS[[#This Row],[FIELD_VALID_FLAG]]),0,2)))</f>
        <v>-1</v>
      </c>
      <c r="O198" s="8" t="str">
        <f ca="1">IFERROR(VLOOKUP(DB_TBL_DATA_FIELDS[[#This Row],[FIELD_STATUS_CODE]],DB_TBL_CONFIG_FIELDSTATUSCODES[#All],3,FALSE),"")</f>
        <v>Optional</v>
      </c>
      <c r="P198" s="8" t="str">
        <f ca="1">IFERROR(VLOOKUP(DB_TBL_DATA_FIELDS[[#This Row],[FIELD_STATUS_CODE]],DB_TBL_CONFIG_FIELDSTATUSCODES[#All],4,FALSE),"")</f>
        <v xml:space="preserve"> </v>
      </c>
      <c r="Q198" s="8" t="b">
        <f>TRUE</f>
        <v>1</v>
      </c>
      <c r="R198" s="8" t="b">
        <f>TRUE</f>
        <v>1</v>
      </c>
      <c r="S198" s="4" t="s">
        <v>62</v>
      </c>
      <c r="T198" s="8">
        <f ca="1">IF(DB_TBL_DATA_FIELDS[[#This Row],[RANGE_VALIDATION_FLAG]]="Text",LEN(DB_TBL_DATA_FIELDS[[#This Row],[FIELD_VALUE_RAW]]),IFERROR(VALUE(DB_TBL_DATA_FIELDS[[#This Row],[FIELD_VALUE_RAW]]),-1))</f>
        <v>-1</v>
      </c>
      <c r="U198" s="8">
        <v>0</v>
      </c>
      <c r="V198" s="34">
        <v>0.8</v>
      </c>
      <c r="W198" s="8" t="b">
        <f ca="1">IF(NOT(DB_TBL_DATA_FIELDS[[#This Row],[RANGE_VALIDATION_ON_FLAG]]),TRUE,
AND(DB_TBL_DATA_FIELDS[[#This Row],[RANGE_VALUE_LEN]]&gt;=DB_TBL_DATA_FIELDS[[#This Row],[RANGE_VALIDATION_MIN]],DB_TBL_DATA_FIELDS[[#This Row],[RANGE_VALUE_LEN]]&lt;=DB_TBL_DATA_FIELDS[[#This Row],[RANGE_VALIDATION_MAX]]))</f>
        <v>0</v>
      </c>
      <c r="X198" s="8">
        <v>1</v>
      </c>
      <c r="Y198" s="8">
        <f ca="1">IF(DB_TBL_DATA_FIELDS[[#This Row],[PCT_CALC_SHOW_STATUS_CODE]]=1,
DB_TBL_DATA_FIELDS[[#This Row],[FIELD_STATUS_CODE]],
IF(AND(DB_TBL_DATA_FIELDS[[#This Row],[PCT_CALC_SHOW_STATUS_CODE]]=2,DB_TBL_DATA_FIELDS[[#This Row],[FIELD_STATUS_CODE]]=0),
DB_TBL_DATA_FIELDS[[#This Row],[FIELD_STATUS_CODE]],
"")
)</f>
        <v>-1</v>
      </c>
      <c r="Z198" s="8"/>
      <c r="AA198" s="11" t="s">
        <v>2925</v>
      </c>
      <c r="AB198" s="11" t="s">
        <v>2873</v>
      </c>
      <c r="AC198" s="8"/>
    </row>
    <row r="199" spans="1:29" x14ac:dyDescent="0.2">
      <c r="A199" s="4" t="s">
        <v>65</v>
      </c>
      <c r="B199" s="4" t="s">
        <v>64</v>
      </c>
      <c r="C199" s="16" t="str">
        <f ca="1">IF($H$10&lt;&gt;"R",IF(DB_TBL_DATA_FIELDS[[#This Row],[SHEET_REF_OWNER]]&lt;&gt;"",DB_TBL_DATA_FIELDS[[#This Row],[SHEET_REF_OWNER]],""),IF(DB_TBL_DATA_FIELDS[[#This Row],[SHEET_REF_RENTAL]]&lt;&gt;"",DB_TBL_DATA_FIELDS[[#This Row],[SHEET_REF_RENTAL]],""))</f>
        <v>RentalApp</v>
      </c>
      <c r="D199" s="4" t="s">
        <v>2886</v>
      </c>
      <c r="E199" s="91" t="b">
        <v>1</v>
      </c>
      <c r="F199" s="41" t="b">
        <f t="shared" ca="1" si="3"/>
        <v>0</v>
      </c>
      <c r="G199" s="6" t="s">
        <v>2914</v>
      </c>
      <c r="H199" s="58" t="str">
        <f ca="1">IFERROR(VLOOKUP(DB_TBL_DATA_FIELDS[[#This Row],[FIELD_ID]],INDIRECT(DB_TBL_DATA_FIELDS[[#This Row],[SHEET_REF_CALC]]&amp;"!A:B"),2,FALSE),"")</f>
        <v/>
      </c>
      <c r="I199" s="29" t="str">
        <f ca="1">IF(DB_TBL_DATA_FIELDS[[#This Row],[FIELD_EMPTY_FLAG]],"",AND(NOT(J187),COUNTIF($H$193:$H$204,DB_TBL_DATA_FIELDS[[#This Row],[FIELD_VALUE_RAW]])&lt;=1))</f>
        <v/>
      </c>
      <c r="J199" s="6" t="b">
        <f ca="1">(DB_TBL_DATA_FIELDS[[#This Row],[FIELD_VALUE_RAW]]="")</f>
        <v>1</v>
      </c>
      <c r="K199" s="6" t="s">
        <v>62</v>
      </c>
      <c r="L199" s="8" t="b">
        <f ca="1">AND(IF(DB_TBL_DATA_FIELDS[[#This Row],[FIELD_VALID_CUSTOM_LOGIC]]="",TRUE,DB_TBL_DATA_FIELDS[[#This Row],[FIELD_VALID_CUSTOM_LOGIC]]),DB_TBL_DATA_FIELDS[[#This Row],[RANGE_VALIDATION_PASSED_FLAG]])</f>
        <v>0</v>
      </c>
      <c r="M199"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99" s="8">
        <f ca="1">IF(DB_TBL_DATA_FIELDS[[#This Row],[SHEET_REF_CALC]]="","",IF(DB_TBL_DATA_FIELDS[[#This Row],[FIELD_EMPTY_FLAG]],IF(NOT(DB_TBL_DATA_FIELDS[[#This Row],[FIELD_REQ_FLAG]]),-1,1),IF(NOT(DB_TBL_DATA_FIELDS[[#This Row],[FIELD_VALID_FLAG]]),0,2)))</f>
        <v>-1</v>
      </c>
      <c r="O199" s="8" t="str">
        <f ca="1">IFERROR(VLOOKUP(DB_TBL_DATA_FIELDS[[#This Row],[FIELD_STATUS_CODE]],DB_TBL_CONFIG_FIELDSTATUSCODES[#All],3,FALSE),"")</f>
        <v>Optional</v>
      </c>
      <c r="P199" s="8" t="str">
        <f ca="1">IFERROR(VLOOKUP(DB_TBL_DATA_FIELDS[[#This Row],[FIELD_STATUS_CODE]],DB_TBL_CONFIG_FIELDSTATUSCODES[#All],4,FALSE),"")</f>
        <v xml:space="preserve"> </v>
      </c>
      <c r="Q199" s="8" t="b">
        <f>TRUE</f>
        <v>1</v>
      </c>
      <c r="R199" s="8" t="b">
        <f>TRUE</f>
        <v>1</v>
      </c>
      <c r="S199" s="4" t="s">
        <v>62</v>
      </c>
      <c r="T199" s="8">
        <f ca="1">IF(DB_TBL_DATA_FIELDS[[#This Row],[RANGE_VALIDATION_FLAG]]="Text",LEN(DB_TBL_DATA_FIELDS[[#This Row],[FIELD_VALUE_RAW]]),IFERROR(VALUE(DB_TBL_DATA_FIELDS[[#This Row],[FIELD_VALUE_RAW]]),-1))</f>
        <v>-1</v>
      </c>
      <c r="U199" s="8">
        <v>0</v>
      </c>
      <c r="V199" s="34">
        <v>0.8</v>
      </c>
      <c r="W199" s="8" t="b">
        <f ca="1">IF(NOT(DB_TBL_DATA_FIELDS[[#This Row],[RANGE_VALIDATION_ON_FLAG]]),TRUE,
AND(DB_TBL_DATA_FIELDS[[#This Row],[RANGE_VALUE_LEN]]&gt;=DB_TBL_DATA_FIELDS[[#This Row],[RANGE_VALIDATION_MIN]],DB_TBL_DATA_FIELDS[[#This Row],[RANGE_VALUE_LEN]]&lt;=DB_TBL_DATA_FIELDS[[#This Row],[RANGE_VALIDATION_MAX]]))</f>
        <v>0</v>
      </c>
      <c r="X199" s="8">
        <v>1</v>
      </c>
      <c r="Y199" s="8">
        <f ca="1">IF(DB_TBL_DATA_FIELDS[[#This Row],[PCT_CALC_SHOW_STATUS_CODE]]=1,
DB_TBL_DATA_FIELDS[[#This Row],[FIELD_STATUS_CODE]],
IF(AND(DB_TBL_DATA_FIELDS[[#This Row],[PCT_CALC_SHOW_STATUS_CODE]]=2,DB_TBL_DATA_FIELDS[[#This Row],[FIELD_STATUS_CODE]]=0),
DB_TBL_DATA_FIELDS[[#This Row],[FIELD_STATUS_CODE]],
"")
)</f>
        <v>-1</v>
      </c>
      <c r="Z199" s="8"/>
      <c r="AA199" s="11" t="s">
        <v>2925</v>
      </c>
      <c r="AB199" s="11" t="s">
        <v>2873</v>
      </c>
      <c r="AC199" s="8"/>
    </row>
    <row r="200" spans="1:29" x14ac:dyDescent="0.2">
      <c r="A200" s="4" t="s">
        <v>65</v>
      </c>
      <c r="B200" s="4" t="s">
        <v>64</v>
      </c>
      <c r="C200" s="16" t="str">
        <f ca="1">IF($H$10&lt;&gt;"R",IF(DB_TBL_DATA_FIELDS[[#This Row],[SHEET_REF_OWNER]]&lt;&gt;"",DB_TBL_DATA_FIELDS[[#This Row],[SHEET_REF_OWNER]],""),IF(DB_TBL_DATA_FIELDS[[#This Row],[SHEET_REF_RENTAL]]&lt;&gt;"",DB_TBL_DATA_FIELDS[[#This Row],[SHEET_REF_RENTAL]],""))</f>
        <v>RentalApp</v>
      </c>
      <c r="D200" s="4" t="s">
        <v>2884</v>
      </c>
      <c r="E200" s="91" t="b">
        <v>1</v>
      </c>
      <c r="F200" s="41" t="b">
        <f ca="1">NOT(J188)</f>
        <v>0</v>
      </c>
      <c r="G200" s="6" t="s">
        <v>2916</v>
      </c>
      <c r="H200" s="58" t="str">
        <f ca="1">IFERROR(VLOOKUP(DB_TBL_DATA_FIELDS[[#This Row],[FIELD_ID]],INDIRECT(DB_TBL_DATA_FIELDS[[#This Row],[SHEET_REF_CALC]]&amp;"!A:B"),2,FALSE),"")</f>
        <v/>
      </c>
      <c r="I200" s="29" t="str">
        <f ca="1">IF(DB_TBL_DATA_FIELDS[[#This Row],[FIELD_EMPTY_FLAG]],"",AND(NOT(J188),COUNTIF($H$193:$H$204,DB_TBL_DATA_FIELDS[[#This Row],[FIELD_VALUE_RAW]])&lt;=1))</f>
        <v/>
      </c>
      <c r="J200" s="6" t="b">
        <f ca="1">(DB_TBL_DATA_FIELDS[[#This Row],[FIELD_VALUE_RAW]]="")</f>
        <v>1</v>
      </c>
      <c r="K200" s="6" t="s">
        <v>62</v>
      </c>
      <c r="L200" s="8" t="b">
        <f ca="1">AND(IF(DB_TBL_DATA_FIELDS[[#This Row],[FIELD_VALID_CUSTOM_LOGIC]]="",TRUE,DB_TBL_DATA_FIELDS[[#This Row],[FIELD_VALID_CUSTOM_LOGIC]]),DB_TBL_DATA_FIELDS[[#This Row],[RANGE_VALIDATION_PASSED_FLAG]])</f>
        <v>0</v>
      </c>
      <c r="M200"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00" s="8">
        <f ca="1">IF(DB_TBL_DATA_FIELDS[[#This Row],[SHEET_REF_CALC]]="","",IF(DB_TBL_DATA_FIELDS[[#This Row],[FIELD_EMPTY_FLAG]],IF(NOT(DB_TBL_DATA_FIELDS[[#This Row],[FIELD_REQ_FLAG]]),-1,1),IF(NOT(DB_TBL_DATA_FIELDS[[#This Row],[FIELD_VALID_FLAG]]),0,2)))</f>
        <v>-1</v>
      </c>
      <c r="O200" s="8" t="str">
        <f ca="1">IFERROR(VLOOKUP(DB_TBL_DATA_FIELDS[[#This Row],[FIELD_STATUS_CODE]],DB_TBL_CONFIG_FIELDSTATUSCODES[#All],3,FALSE),"")</f>
        <v>Optional</v>
      </c>
      <c r="P200" s="8" t="str">
        <f ca="1">IFERROR(VLOOKUP(DB_TBL_DATA_FIELDS[[#This Row],[FIELD_STATUS_CODE]],DB_TBL_CONFIG_FIELDSTATUSCODES[#All],4,FALSE),"")</f>
        <v xml:space="preserve"> </v>
      </c>
      <c r="Q200" s="8" t="b">
        <f>TRUE</f>
        <v>1</v>
      </c>
      <c r="R200" s="8" t="b">
        <f>TRUE</f>
        <v>1</v>
      </c>
      <c r="S200" s="4" t="s">
        <v>62</v>
      </c>
      <c r="T200" s="8">
        <f ca="1">IF(DB_TBL_DATA_FIELDS[[#This Row],[RANGE_VALIDATION_FLAG]]="Text",LEN(DB_TBL_DATA_FIELDS[[#This Row],[FIELD_VALUE_RAW]]),IFERROR(VALUE(DB_TBL_DATA_FIELDS[[#This Row],[FIELD_VALUE_RAW]]),-1))</f>
        <v>-1</v>
      </c>
      <c r="U200" s="8">
        <v>0</v>
      </c>
      <c r="V200" s="34">
        <v>0.8</v>
      </c>
      <c r="W200" s="8" t="b">
        <f ca="1">IF(NOT(DB_TBL_DATA_FIELDS[[#This Row],[RANGE_VALIDATION_ON_FLAG]]),TRUE,
AND(DB_TBL_DATA_FIELDS[[#This Row],[RANGE_VALUE_LEN]]&gt;=DB_TBL_DATA_FIELDS[[#This Row],[RANGE_VALIDATION_MIN]],DB_TBL_DATA_FIELDS[[#This Row],[RANGE_VALUE_LEN]]&lt;=DB_TBL_DATA_FIELDS[[#This Row],[RANGE_VALIDATION_MAX]]))</f>
        <v>0</v>
      </c>
      <c r="X200" s="8">
        <v>1</v>
      </c>
      <c r="Y200" s="8">
        <f ca="1">IF(DB_TBL_DATA_FIELDS[[#This Row],[PCT_CALC_SHOW_STATUS_CODE]]=1,
DB_TBL_DATA_FIELDS[[#This Row],[FIELD_STATUS_CODE]],
IF(AND(DB_TBL_DATA_FIELDS[[#This Row],[PCT_CALC_SHOW_STATUS_CODE]]=2,DB_TBL_DATA_FIELDS[[#This Row],[FIELD_STATUS_CODE]]=0),
DB_TBL_DATA_FIELDS[[#This Row],[FIELD_STATUS_CODE]],
"")
)</f>
        <v>-1</v>
      </c>
      <c r="Z200" s="8"/>
      <c r="AA200" s="11" t="s">
        <v>2925</v>
      </c>
      <c r="AB200" s="11" t="s">
        <v>2873</v>
      </c>
      <c r="AC200" s="8"/>
    </row>
    <row r="201" spans="1:29" x14ac:dyDescent="0.2">
      <c r="A201" s="4" t="s">
        <v>65</v>
      </c>
      <c r="B201" s="4" t="s">
        <v>64</v>
      </c>
      <c r="C201" s="16" t="str">
        <f ca="1">IF($H$10&lt;&gt;"R",IF(DB_TBL_DATA_FIELDS[[#This Row],[SHEET_REF_OWNER]]&lt;&gt;"",DB_TBL_DATA_FIELDS[[#This Row],[SHEET_REF_OWNER]],""),IF(DB_TBL_DATA_FIELDS[[#This Row],[SHEET_REF_RENTAL]]&lt;&gt;"",DB_TBL_DATA_FIELDS[[#This Row],[SHEET_REF_RENTAL]],""))</f>
        <v>RentalApp</v>
      </c>
      <c r="D201" s="4" t="s">
        <v>2882</v>
      </c>
      <c r="E201" s="91" t="b">
        <v>1</v>
      </c>
      <c r="F201" s="41" t="b">
        <f t="shared" ca="1" si="3"/>
        <v>0</v>
      </c>
      <c r="G201" s="6" t="s">
        <v>2918</v>
      </c>
      <c r="H201" s="58" t="str">
        <f ca="1">IFERROR(VLOOKUP(DB_TBL_DATA_FIELDS[[#This Row],[FIELD_ID]],INDIRECT(DB_TBL_DATA_FIELDS[[#This Row],[SHEET_REF_CALC]]&amp;"!A:B"),2,FALSE),"")</f>
        <v/>
      </c>
      <c r="I201" s="29" t="str">
        <f ca="1">IF(DB_TBL_DATA_FIELDS[[#This Row],[FIELD_EMPTY_FLAG]],"",AND(NOT(J189),COUNTIF($H$193:$H$204,DB_TBL_DATA_FIELDS[[#This Row],[FIELD_VALUE_RAW]])&lt;=1))</f>
        <v/>
      </c>
      <c r="J201" s="6" t="b">
        <f ca="1">(DB_TBL_DATA_FIELDS[[#This Row],[FIELD_VALUE_RAW]]="")</f>
        <v>1</v>
      </c>
      <c r="K201" s="6" t="s">
        <v>62</v>
      </c>
      <c r="L201" s="8" t="b">
        <f ca="1">AND(IF(DB_TBL_DATA_FIELDS[[#This Row],[FIELD_VALID_CUSTOM_LOGIC]]="",TRUE,DB_TBL_DATA_FIELDS[[#This Row],[FIELD_VALID_CUSTOM_LOGIC]]),DB_TBL_DATA_FIELDS[[#This Row],[RANGE_VALIDATION_PASSED_FLAG]])</f>
        <v>0</v>
      </c>
      <c r="M201"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01" s="8">
        <f ca="1">IF(DB_TBL_DATA_FIELDS[[#This Row],[SHEET_REF_CALC]]="","",IF(DB_TBL_DATA_FIELDS[[#This Row],[FIELD_EMPTY_FLAG]],IF(NOT(DB_TBL_DATA_FIELDS[[#This Row],[FIELD_REQ_FLAG]]),-1,1),IF(NOT(DB_TBL_DATA_FIELDS[[#This Row],[FIELD_VALID_FLAG]]),0,2)))</f>
        <v>-1</v>
      </c>
      <c r="O201" s="8" t="str">
        <f ca="1">IFERROR(VLOOKUP(DB_TBL_DATA_FIELDS[[#This Row],[FIELD_STATUS_CODE]],DB_TBL_CONFIG_FIELDSTATUSCODES[#All],3,FALSE),"")</f>
        <v>Optional</v>
      </c>
      <c r="P201" s="8" t="str">
        <f ca="1">IFERROR(VLOOKUP(DB_TBL_DATA_FIELDS[[#This Row],[FIELD_STATUS_CODE]],DB_TBL_CONFIG_FIELDSTATUSCODES[#All],4,FALSE),"")</f>
        <v xml:space="preserve"> </v>
      </c>
      <c r="Q201" s="8" t="b">
        <f>TRUE</f>
        <v>1</v>
      </c>
      <c r="R201" s="8" t="b">
        <f>TRUE</f>
        <v>1</v>
      </c>
      <c r="S201" s="4" t="s">
        <v>62</v>
      </c>
      <c r="T201" s="8">
        <f ca="1">IF(DB_TBL_DATA_FIELDS[[#This Row],[RANGE_VALIDATION_FLAG]]="Text",LEN(DB_TBL_DATA_FIELDS[[#This Row],[FIELD_VALUE_RAW]]),IFERROR(VALUE(DB_TBL_DATA_FIELDS[[#This Row],[FIELD_VALUE_RAW]]),-1))</f>
        <v>-1</v>
      </c>
      <c r="U201" s="8">
        <v>0</v>
      </c>
      <c r="V201" s="34">
        <v>0.8</v>
      </c>
      <c r="W201" s="8" t="b">
        <f ca="1">IF(NOT(DB_TBL_DATA_FIELDS[[#This Row],[RANGE_VALIDATION_ON_FLAG]]),TRUE,
AND(DB_TBL_DATA_FIELDS[[#This Row],[RANGE_VALUE_LEN]]&gt;=DB_TBL_DATA_FIELDS[[#This Row],[RANGE_VALIDATION_MIN]],DB_TBL_DATA_FIELDS[[#This Row],[RANGE_VALUE_LEN]]&lt;=DB_TBL_DATA_FIELDS[[#This Row],[RANGE_VALIDATION_MAX]]))</f>
        <v>0</v>
      </c>
      <c r="X201" s="8">
        <v>1</v>
      </c>
      <c r="Y201" s="8">
        <f ca="1">IF(DB_TBL_DATA_FIELDS[[#This Row],[PCT_CALC_SHOW_STATUS_CODE]]=1,
DB_TBL_DATA_FIELDS[[#This Row],[FIELD_STATUS_CODE]],
IF(AND(DB_TBL_DATA_FIELDS[[#This Row],[PCT_CALC_SHOW_STATUS_CODE]]=2,DB_TBL_DATA_FIELDS[[#This Row],[FIELD_STATUS_CODE]]=0),
DB_TBL_DATA_FIELDS[[#This Row],[FIELD_STATUS_CODE]],
"")
)</f>
        <v>-1</v>
      </c>
      <c r="Z201" s="8"/>
      <c r="AA201" s="11" t="s">
        <v>2925</v>
      </c>
      <c r="AB201" s="11" t="s">
        <v>2873</v>
      </c>
      <c r="AC201" s="8"/>
    </row>
    <row r="202" spans="1:29" x14ac:dyDescent="0.2">
      <c r="A202" s="4" t="s">
        <v>65</v>
      </c>
      <c r="B202" s="4" t="s">
        <v>64</v>
      </c>
      <c r="C202" s="16" t="str">
        <f ca="1">IF($H$10&lt;&gt;"R",IF(DB_TBL_DATA_FIELDS[[#This Row],[SHEET_REF_OWNER]]&lt;&gt;"",DB_TBL_DATA_FIELDS[[#This Row],[SHEET_REF_OWNER]],""),IF(DB_TBL_DATA_FIELDS[[#This Row],[SHEET_REF_RENTAL]]&lt;&gt;"",DB_TBL_DATA_FIELDS[[#This Row],[SHEET_REF_RENTAL]],""))</f>
        <v>RentalApp</v>
      </c>
      <c r="D202" s="4" t="s">
        <v>2881</v>
      </c>
      <c r="E202" s="91" t="b">
        <v>1</v>
      </c>
      <c r="F202" s="41" t="b">
        <f t="shared" ca="1" si="3"/>
        <v>0</v>
      </c>
      <c r="G202" s="6" t="s">
        <v>2920</v>
      </c>
      <c r="H202" s="58" t="str">
        <f ca="1">IFERROR(VLOOKUP(DB_TBL_DATA_FIELDS[[#This Row],[FIELD_ID]],INDIRECT(DB_TBL_DATA_FIELDS[[#This Row],[SHEET_REF_CALC]]&amp;"!A:B"),2,FALSE),"")</f>
        <v/>
      </c>
      <c r="I202" s="29" t="str">
        <f ca="1">IF(DB_TBL_DATA_FIELDS[[#This Row],[FIELD_EMPTY_FLAG]],"",AND(NOT(J190),COUNTIF($H$193:$H$204,DB_TBL_DATA_FIELDS[[#This Row],[FIELD_VALUE_RAW]])&lt;=1))</f>
        <v/>
      </c>
      <c r="J202" s="6" t="b">
        <f ca="1">(DB_TBL_DATA_FIELDS[[#This Row],[FIELD_VALUE_RAW]]="")</f>
        <v>1</v>
      </c>
      <c r="K202" s="6" t="s">
        <v>62</v>
      </c>
      <c r="L202" s="8" t="b">
        <f ca="1">AND(IF(DB_TBL_DATA_FIELDS[[#This Row],[FIELD_VALID_CUSTOM_LOGIC]]="",TRUE,DB_TBL_DATA_FIELDS[[#This Row],[FIELD_VALID_CUSTOM_LOGIC]]),DB_TBL_DATA_FIELDS[[#This Row],[RANGE_VALIDATION_PASSED_FLAG]])</f>
        <v>0</v>
      </c>
      <c r="M202"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02" s="8">
        <f ca="1">IF(DB_TBL_DATA_FIELDS[[#This Row],[SHEET_REF_CALC]]="","",IF(DB_TBL_DATA_FIELDS[[#This Row],[FIELD_EMPTY_FLAG]],IF(NOT(DB_TBL_DATA_FIELDS[[#This Row],[FIELD_REQ_FLAG]]),-1,1),IF(NOT(DB_TBL_DATA_FIELDS[[#This Row],[FIELD_VALID_FLAG]]),0,2)))</f>
        <v>-1</v>
      </c>
      <c r="O202" s="8" t="str">
        <f ca="1">IFERROR(VLOOKUP(DB_TBL_DATA_FIELDS[[#This Row],[FIELD_STATUS_CODE]],DB_TBL_CONFIG_FIELDSTATUSCODES[#All],3,FALSE),"")</f>
        <v>Optional</v>
      </c>
      <c r="P202" s="8" t="str">
        <f ca="1">IFERROR(VLOOKUP(DB_TBL_DATA_FIELDS[[#This Row],[FIELD_STATUS_CODE]],DB_TBL_CONFIG_FIELDSTATUSCODES[#All],4,FALSE),"")</f>
        <v xml:space="preserve"> </v>
      </c>
      <c r="Q202" s="8" t="b">
        <f>TRUE</f>
        <v>1</v>
      </c>
      <c r="R202" s="8" t="b">
        <f>TRUE</f>
        <v>1</v>
      </c>
      <c r="S202" s="4" t="s">
        <v>62</v>
      </c>
      <c r="T202" s="8">
        <f ca="1">IF(DB_TBL_DATA_FIELDS[[#This Row],[RANGE_VALIDATION_FLAG]]="Text",LEN(DB_TBL_DATA_FIELDS[[#This Row],[FIELD_VALUE_RAW]]),IFERROR(VALUE(DB_TBL_DATA_FIELDS[[#This Row],[FIELD_VALUE_RAW]]),-1))</f>
        <v>-1</v>
      </c>
      <c r="U202" s="8">
        <v>0</v>
      </c>
      <c r="V202" s="34">
        <v>0.8</v>
      </c>
      <c r="W202" s="8" t="b">
        <f ca="1">IF(NOT(DB_TBL_DATA_FIELDS[[#This Row],[RANGE_VALIDATION_ON_FLAG]]),TRUE,
AND(DB_TBL_DATA_FIELDS[[#This Row],[RANGE_VALUE_LEN]]&gt;=DB_TBL_DATA_FIELDS[[#This Row],[RANGE_VALIDATION_MIN]],DB_TBL_DATA_FIELDS[[#This Row],[RANGE_VALUE_LEN]]&lt;=DB_TBL_DATA_FIELDS[[#This Row],[RANGE_VALIDATION_MAX]]))</f>
        <v>0</v>
      </c>
      <c r="X202" s="8">
        <v>1</v>
      </c>
      <c r="Y202" s="8">
        <f ca="1">IF(DB_TBL_DATA_FIELDS[[#This Row],[PCT_CALC_SHOW_STATUS_CODE]]=1,
DB_TBL_DATA_FIELDS[[#This Row],[FIELD_STATUS_CODE]],
IF(AND(DB_TBL_DATA_FIELDS[[#This Row],[PCT_CALC_SHOW_STATUS_CODE]]=2,DB_TBL_DATA_FIELDS[[#This Row],[FIELD_STATUS_CODE]]=0),
DB_TBL_DATA_FIELDS[[#This Row],[FIELD_STATUS_CODE]],
"")
)</f>
        <v>-1</v>
      </c>
      <c r="Z202" s="8"/>
      <c r="AA202" s="11" t="s">
        <v>2925</v>
      </c>
      <c r="AB202" s="11" t="s">
        <v>2873</v>
      </c>
      <c r="AC202" s="8"/>
    </row>
    <row r="203" spans="1:29" x14ac:dyDescent="0.2">
      <c r="A203" s="4" t="s">
        <v>65</v>
      </c>
      <c r="B203" s="4" t="s">
        <v>64</v>
      </c>
      <c r="C203" s="16" t="str">
        <f ca="1">IF($H$10&lt;&gt;"R",IF(DB_TBL_DATA_FIELDS[[#This Row],[SHEET_REF_OWNER]]&lt;&gt;"",DB_TBL_DATA_FIELDS[[#This Row],[SHEET_REF_OWNER]],""),IF(DB_TBL_DATA_FIELDS[[#This Row],[SHEET_REF_RENTAL]]&lt;&gt;"",DB_TBL_DATA_FIELDS[[#This Row],[SHEET_REF_RENTAL]],""))</f>
        <v>RentalApp</v>
      </c>
      <c r="D203" s="4" t="s">
        <v>3404</v>
      </c>
      <c r="E203" s="91" t="b">
        <v>1</v>
      </c>
      <c r="F203" s="41" t="b">
        <f ca="1">NOT(J191)</f>
        <v>0</v>
      </c>
      <c r="G203" s="6" t="s">
        <v>3406</v>
      </c>
      <c r="H203" s="33" t="str">
        <f ca="1">IFERROR(VLOOKUP(DB_TBL_DATA_FIELDS[[#This Row],[FIELD_ID]],INDIRECT(DB_TBL_DATA_FIELDS[[#This Row],[SHEET_REF_CALC]]&amp;"!A:B"),2,FALSE),"")</f>
        <v/>
      </c>
      <c r="I203" s="29" t="str">
        <f ca="1">IF(DB_TBL_DATA_FIELDS[[#This Row],[FIELD_EMPTY_FLAG]],"",AND(NOT(J191),COUNTIF($H$193:$H$204,DB_TBL_DATA_FIELDS[[#This Row],[FIELD_VALUE_RAW]])&lt;=1))</f>
        <v/>
      </c>
      <c r="J203" s="6" t="b">
        <f ca="1">(DB_TBL_DATA_FIELDS[[#This Row],[FIELD_VALUE_RAW]]="")</f>
        <v>1</v>
      </c>
      <c r="K203" s="6" t="s">
        <v>62</v>
      </c>
      <c r="L203" s="8" t="b">
        <f ca="1">AND(IF(DB_TBL_DATA_FIELDS[[#This Row],[FIELD_VALID_CUSTOM_LOGIC]]="",TRUE,DB_TBL_DATA_FIELDS[[#This Row],[FIELD_VALID_CUSTOM_LOGIC]]),DB_TBL_DATA_FIELDS[[#This Row],[RANGE_VALIDATION_PASSED_FLAG]])</f>
        <v>0</v>
      </c>
      <c r="M203"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03" s="8">
        <f ca="1">IF(DB_TBL_DATA_FIELDS[[#This Row],[SHEET_REF_CALC]]="","",IF(DB_TBL_DATA_FIELDS[[#This Row],[FIELD_EMPTY_FLAG]],IF(NOT(DB_TBL_DATA_FIELDS[[#This Row],[FIELD_REQ_FLAG]]),-1,1),IF(NOT(DB_TBL_DATA_FIELDS[[#This Row],[FIELD_VALID_FLAG]]),0,2)))</f>
        <v>-1</v>
      </c>
      <c r="O203" s="8" t="str">
        <f ca="1">IFERROR(VLOOKUP(DB_TBL_DATA_FIELDS[[#This Row],[FIELD_STATUS_CODE]],DB_TBL_CONFIG_FIELDSTATUSCODES[#All],3,FALSE),"")</f>
        <v>Optional</v>
      </c>
      <c r="P203" s="8" t="str">
        <f ca="1">IFERROR(VLOOKUP(DB_TBL_DATA_FIELDS[[#This Row],[FIELD_STATUS_CODE]],DB_TBL_CONFIG_FIELDSTATUSCODES[#All],4,FALSE),"")</f>
        <v xml:space="preserve"> </v>
      </c>
      <c r="Q203" s="8" t="b">
        <f>TRUE</f>
        <v>1</v>
      </c>
      <c r="R203" s="8" t="b">
        <f>TRUE</f>
        <v>1</v>
      </c>
      <c r="S203" s="4" t="s">
        <v>62</v>
      </c>
      <c r="T203" s="8">
        <f ca="1">IF(DB_TBL_DATA_FIELDS[[#This Row],[RANGE_VALIDATION_FLAG]]="Text",LEN(DB_TBL_DATA_FIELDS[[#This Row],[FIELD_VALUE_RAW]]),IFERROR(VALUE(DB_TBL_DATA_FIELDS[[#This Row],[FIELD_VALUE_RAW]]),-1))</f>
        <v>-1</v>
      </c>
      <c r="U203" s="8">
        <v>0</v>
      </c>
      <c r="V203" s="34">
        <v>0.8</v>
      </c>
      <c r="W203" s="8" t="b">
        <f ca="1">IF(NOT(DB_TBL_DATA_FIELDS[[#This Row],[RANGE_VALIDATION_ON_FLAG]]),TRUE,
AND(DB_TBL_DATA_FIELDS[[#This Row],[RANGE_VALUE_LEN]]&gt;=DB_TBL_DATA_FIELDS[[#This Row],[RANGE_VALIDATION_MIN]],DB_TBL_DATA_FIELDS[[#This Row],[RANGE_VALUE_LEN]]&lt;=DB_TBL_DATA_FIELDS[[#This Row],[RANGE_VALIDATION_MAX]]))</f>
        <v>0</v>
      </c>
      <c r="X203" s="8">
        <v>1</v>
      </c>
      <c r="Y203" s="8">
        <f ca="1">IF(DB_TBL_DATA_FIELDS[[#This Row],[PCT_CALC_SHOW_STATUS_CODE]]=1,
DB_TBL_DATA_FIELDS[[#This Row],[FIELD_STATUS_CODE]],
IF(AND(DB_TBL_DATA_FIELDS[[#This Row],[PCT_CALC_SHOW_STATUS_CODE]]=2,DB_TBL_DATA_FIELDS[[#This Row],[FIELD_STATUS_CODE]]=0),
DB_TBL_DATA_FIELDS[[#This Row],[FIELD_STATUS_CODE]],
"")
)</f>
        <v>-1</v>
      </c>
      <c r="Z203" s="8"/>
      <c r="AA203" s="11" t="s">
        <v>2925</v>
      </c>
      <c r="AB203" s="11" t="s">
        <v>2873</v>
      </c>
      <c r="AC203" s="8" t="s">
        <v>3408</v>
      </c>
    </row>
    <row r="204" spans="1:29" x14ac:dyDescent="0.2">
      <c r="A204" s="4" t="s">
        <v>65</v>
      </c>
      <c r="B204" s="4" t="s">
        <v>64</v>
      </c>
      <c r="C204" s="16" t="str">
        <f ca="1">IF($H$10&lt;&gt;"R",IF(DB_TBL_DATA_FIELDS[[#This Row],[SHEET_REF_OWNER]]&lt;&gt;"",DB_TBL_DATA_FIELDS[[#This Row],[SHEET_REF_OWNER]],""),IF(DB_TBL_DATA_FIELDS[[#This Row],[SHEET_REF_RENTAL]]&lt;&gt;"",DB_TBL_DATA_FIELDS[[#This Row],[SHEET_REF_RENTAL]],""))</f>
        <v>RentalApp</v>
      </c>
      <c r="D204" s="4" t="s">
        <v>3405</v>
      </c>
      <c r="E204" s="91" t="b">
        <v>1</v>
      </c>
      <c r="F204" s="41" t="b">
        <f ca="1">NOT(J192)</f>
        <v>0</v>
      </c>
      <c r="G204" s="6" t="s">
        <v>3407</v>
      </c>
      <c r="H204" s="33" t="str">
        <f ca="1">IFERROR(VLOOKUP(DB_TBL_DATA_FIELDS[[#This Row],[FIELD_ID]],INDIRECT(DB_TBL_DATA_FIELDS[[#This Row],[SHEET_REF_CALC]]&amp;"!A:B"),2,FALSE),"")</f>
        <v/>
      </c>
      <c r="I204" s="29" t="str">
        <f ca="1">IF(DB_TBL_DATA_FIELDS[[#This Row],[FIELD_EMPTY_FLAG]],"",AND(NOT(J192),COUNTIF($H$193:$H$204,DB_TBL_DATA_FIELDS[[#This Row],[FIELD_VALUE_RAW]])&lt;=1))</f>
        <v/>
      </c>
      <c r="J204" s="6" t="b">
        <f ca="1">(DB_TBL_DATA_FIELDS[[#This Row],[FIELD_VALUE_RAW]]="")</f>
        <v>1</v>
      </c>
      <c r="K204" s="6" t="s">
        <v>62</v>
      </c>
      <c r="L204" s="8" t="b">
        <f ca="1">AND(IF(DB_TBL_DATA_FIELDS[[#This Row],[FIELD_VALID_CUSTOM_LOGIC]]="",TRUE,DB_TBL_DATA_FIELDS[[#This Row],[FIELD_VALID_CUSTOM_LOGIC]]),DB_TBL_DATA_FIELDS[[#This Row],[RANGE_VALIDATION_PASSED_FLAG]])</f>
        <v>0</v>
      </c>
      <c r="M204"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04" s="8">
        <f ca="1">IF(DB_TBL_DATA_FIELDS[[#This Row],[SHEET_REF_CALC]]="","",IF(DB_TBL_DATA_FIELDS[[#This Row],[FIELD_EMPTY_FLAG]],IF(NOT(DB_TBL_DATA_FIELDS[[#This Row],[FIELD_REQ_FLAG]]),-1,1),IF(NOT(DB_TBL_DATA_FIELDS[[#This Row],[FIELD_VALID_FLAG]]),0,2)))</f>
        <v>-1</v>
      </c>
      <c r="O204" s="8" t="str">
        <f ca="1">IFERROR(VLOOKUP(DB_TBL_DATA_FIELDS[[#This Row],[FIELD_STATUS_CODE]],DB_TBL_CONFIG_FIELDSTATUSCODES[#All],3,FALSE),"")</f>
        <v>Optional</v>
      </c>
      <c r="P204" s="8" t="str">
        <f ca="1">IFERROR(VLOOKUP(DB_TBL_DATA_FIELDS[[#This Row],[FIELD_STATUS_CODE]],DB_TBL_CONFIG_FIELDSTATUSCODES[#All],4,FALSE),"")</f>
        <v xml:space="preserve"> </v>
      </c>
      <c r="Q204" s="8" t="b">
        <f>TRUE</f>
        <v>1</v>
      </c>
      <c r="R204" s="8" t="b">
        <f>TRUE</f>
        <v>1</v>
      </c>
      <c r="S204" s="4" t="s">
        <v>62</v>
      </c>
      <c r="T204" s="8">
        <f ca="1">IF(DB_TBL_DATA_FIELDS[[#This Row],[RANGE_VALIDATION_FLAG]]="Text",LEN(DB_TBL_DATA_FIELDS[[#This Row],[FIELD_VALUE_RAW]]),IFERROR(VALUE(DB_TBL_DATA_FIELDS[[#This Row],[FIELD_VALUE_RAW]]),-1))</f>
        <v>-1</v>
      </c>
      <c r="U204" s="8">
        <v>0</v>
      </c>
      <c r="V204" s="34">
        <v>0.8</v>
      </c>
      <c r="W204" s="8" t="b">
        <f ca="1">IF(NOT(DB_TBL_DATA_FIELDS[[#This Row],[RANGE_VALIDATION_ON_FLAG]]),TRUE,
AND(DB_TBL_DATA_FIELDS[[#This Row],[RANGE_VALUE_LEN]]&gt;=DB_TBL_DATA_FIELDS[[#This Row],[RANGE_VALIDATION_MIN]],DB_TBL_DATA_FIELDS[[#This Row],[RANGE_VALUE_LEN]]&lt;=DB_TBL_DATA_FIELDS[[#This Row],[RANGE_VALIDATION_MAX]]))</f>
        <v>0</v>
      </c>
      <c r="X204" s="8">
        <v>1</v>
      </c>
      <c r="Y204" s="8">
        <f ca="1">IF(DB_TBL_DATA_FIELDS[[#This Row],[PCT_CALC_SHOW_STATUS_CODE]]=1,
DB_TBL_DATA_FIELDS[[#This Row],[FIELD_STATUS_CODE]],
IF(AND(DB_TBL_DATA_FIELDS[[#This Row],[PCT_CALC_SHOW_STATUS_CODE]]=2,DB_TBL_DATA_FIELDS[[#This Row],[FIELD_STATUS_CODE]]=0),
DB_TBL_DATA_FIELDS[[#This Row],[FIELD_STATUS_CODE]],
"")
)</f>
        <v>-1</v>
      </c>
      <c r="Z204" s="8"/>
      <c r="AA204" s="11" t="s">
        <v>2925</v>
      </c>
      <c r="AB204" s="11" t="s">
        <v>2873</v>
      </c>
      <c r="AC204" s="8" t="s">
        <v>3408</v>
      </c>
    </row>
    <row r="205" spans="1:29" x14ac:dyDescent="0.2">
      <c r="A205" s="4" t="s">
        <v>65</v>
      </c>
      <c r="B205" s="4" t="s">
        <v>64</v>
      </c>
      <c r="C205" s="16" t="str">
        <f ca="1">IF($H$10&lt;&gt;"R",IF(DB_TBL_DATA_FIELDS[[#This Row],[SHEET_REF_OWNER]]&lt;&gt;"",DB_TBL_DATA_FIELDS[[#This Row],[SHEET_REF_OWNER]],""),IF(DB_TBL_DATA_FIELDS[[#This Row],[SHEET_REF_RENTAL]]&lt;&gt;"",DB_TBL_DATA_FIELDS[[#This Row],[SHEET_REF_RENTAL]],""))</f>
        <v>RentalApp</v>
      </c>
      <c r="D205" s="4" t="s">
        <v>3603</v>
      </c>
      <c r="E205" s="32" t="b">
        <v>0</v>
      </c>
      <c r="F205" s="45" t="b">
        <v>0</v>
      </c>
      <c r="G205" s="6" t="s">
        <v>3604</v>
      </c>
      <c r="H205" s="29" t="str">
        <f ca="1">IF(SUM($H$193:$H$204)&gt;0,SUMPRODUCT((COUNTIF($H$193:$H$204,$H$193:$H$204)-1)*($H$193:$H$204 &lt;&gt; ""))&gt;0,"")</f>
        <v/>
      </c>
      <c r="I205" s="29" t="str">
        <f ca="1">IF(NOT(DB_TBL_DATA_FIELDS[[#This Row],[FIELD_EMPTY_FLAG]]),NOT(DB_TBL_DATA_FIELDS[[#This Row],[FIELD_VALUE_RAW]]),"")</f>
        <v/>
      </c>
      <c r="J205" s="6" t="b">
        <f ca="1">(DB_TBL_DATA_FIELDS[[#This Row],[FIELD_VALUE_RAW]]="")</f>
        <v>1</v>
      </c>
      <c r="K205" s="6" t="s">
        <v>209</v>
      </c>
      <c r="L205" s="8" t="b">
        <f ca="1">AND(IF(DB_TBL_DATA_FIELDS[[#This Row],[FIELD_VALID_CUSTOM_LOGIC]]="",TRUE,DB_TBL_DATA_FIELDS[[#This Row],[FIELD_VALID_CUSTOM_LOGIC]]),DB_TBL_DATA_FIELDS[[#This Row],[RANGE_VALIDATION_PASSED_FLAG]])</f>
        <v>1</v>
      </c>
      <c r="M205"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05" s="8">
        <f ca="1">IF(DB_TBL_DATA_FIELDS[[#This Row],[SHEET_REF_CALC]]="","",IF(DB_TBL_DATA_FIELDS[[#This Row],[FIELD_EMPTY_FLAG]],IF(NOT(DB_TBL_DATA_FIELDS[[#This Row],[FIELD_REQ_FLAG]]),-1,1),IF(NOT(DB_TBL_DATA_FIELDS[[#This Row],[FIELD_VALID_FLAG]]),0,2)))</f>
        <v>-1</v>
      </c>
      <c r="O205" s="8" t="str">
        <f ca="1">IFERROR(VLOOKUP(DB_TBL_DATA_FIELDS[[#This Row],[FIELD_STATUS_CODE]],DB_TBL_CONFIG_FIELDSTATUSCODES[#All],3,FALSE),"")</f>
        <v>Optional</v>
      </c>
      <c r="P205" s="8" t="str">
        <f ca="1">IFERROR(VLOOKUP(DB_TBL_DATA_FIELDS[[#This Row],[FIELD_STATUS_CODE]],DB_TBL_CONFIG_FIELDSTATUSCODES[#All],4,FALSE),"")</f>
        <v xml:space="preserve"> </v>
      </c>
      <c r="Q205" s="8" t="b">
        <f>TRUE</f>
        <v>1</v>
      </c>
      <c r="R205" s="8" t="b">
        <v>0</v>
      </c>
      <c r="S205" s="4"/>
      <c r="T205" s="8">
        <f ca="1">IF(DB_TBL_DATA_FIELDS[[#This Row],[RANGE_VALIDATION_FLAG]]="Text",LEN(DB_TBL_DATA_FIELDS[[#This Row],[FIELD_VALUE_RAW]]),IFERROR(VALUE(DB_TBL_DATA_FIELDS[[#This Row],[FIELD_VALUE_RAW]]),-1))</f>
        <v>-1</v>
      </c>
      <c r="U205" s="8">
        <v>0</v>
      </c>
      <c r="V205" s="34">
        <v>1</v>
      </c>
      <c r="W205" s="8" t="b">
        <f>IF(NOT(DB_TBL_DATA_FIELDS[[#This Row],[RANGE_VALIDATION_ON_FLAG]]),TRUE,
AND(DB_TBL_DATA_FIELDS[[#This Row],[RANGE_VALUE_LEN]]&gt;=DB_TBL_DATA_FIELDS[[#This Row],[RANGE_VALIDATION_MIN]],DB_TBL_DATA_FIELDS[[#This Row],[RANGE_VALUE_LEN]]&lt;=DB_TBL_DATA_FIELDS[[#This Row],[RANGE_VALIDATION_MAX]]))</f>
        <v>1</v>
      </c>
      <c r="X205" s="8">
        <v>0</v>
      </c>
      <c r="Y205" s="8" t="str">
        <f ca="1">IF(DB_TBL_DATA_FIELDS[[#This Row],[PCT_CALC_SHOW_STATUS_CODE]]=1,
DB_TBL_DATA_FIELDS[[#This Row],[FIELD_STATUS_CODE]],
IF(AND(DB_TBL_DATA_FIELDS[[#This Row],[PCT_CALC_SHOW_STATUS_CODE]]=2,DB_TBL_DATA_FIELDS[[#This Row],[FIELD_STATUS_CODE]]=0),
DB_TBL_DATA_FIELDS[[#This Row],[FIELD_STATUS_CODE]],
"")
)</f>
        <v/>
      </c>
      <c r="Z205" s="101" t="str">
        <f ca="1">IF(DB_TBL_DATA_FIELDS[[#This Row],[FIELD_VALID_CUSTOM_LOGIC]]="","",IF(NOT(DB_TBL_DATA_FIELDS[[#This Row],[FIELD_VALID_CUSTOM_LOGIC]]),"One or more duplicate Target AMI values found in table.  Each Target AMI must only be defined once, with the sum of all units in that Target AMI reflected.",""))</f>
        <v/>
      </c>
      <c r="AA205" s="11"/>
      <c r="AB205" s="11" t="s">
        <v>2873</v>
      </c>
      <c r="AC205" s="8" t="s">
        <v>3605</v>
      </c>
    </row>
    <row r="206" spans="1:29" x14ac:dyDescent="0.2">
      <c r="A206" s="4"/>
      <c r="B206" s="4" t="s">
        <v>64</v>
      </c>
      <c r="C206" s="16" t="str">
        <f ca="1">IF($H$10&lt;&gt;"R",IF(DB_TBL_DATA_FIELDS[[#This Row],[SHEET_REF_OWNER]]&lt;&gt;"",DB_TBL_DATA_FIELDS[[#This Row],[SHEET_REF_OWNER]],""),IF(DB_TBL_DATA_FIELDS[[#This Row],[SHEET_REF_RENTAL]]&lt;&gt;"",DB_TBL_DATA_FIELDS[[#This Row],[SHEET_REF_RENTAL]],""))</f>
        <v>RentalApp</v>
      </c>
      <c r="D206" s="89" t="s">
        <v>2875</v>
      </c>
      <c r="E206" s="91" t="b">
        <v>1</v>
      </c>
      <c r="F206" s="45" t="b">
        <v>1</v>
      </c>
      <c r="G206" s="6" t="s">
        <v>2900</v>
      </c>
      <c r="H206" s="29" t="str">
        <f ca="1">IF(DB_TBL_DATA_FIELDS[[#This Row],[SHEET_REF_CALC]]&lt;&gt;"",IF(SUM(H181:H192)&gt;0,SUM(H181:H192),""),"")</f>
        <v/>
      </c>
      <c r="I206" s="29" t="str">
        <f ca="1">IF(DB_TBL_DATA_FIELDS[[#This Row],[FIELD_EMPTY_FLAG]],"",DB_TBL_DATA_FIELDS[[#This Row],[FIELD_VALUE_RAW]]&lt;=DATA_TOTAL_UNITS)</f>
        <v/>
      </c>
      <c r="J206" s="6" t="b">
        <f ca="1">(DB_TBL_DATA_FIELDS[[#This Row],[FIELD_VALUE_RAW]]="")</f>
        <v>1</v>
      </c>
      <c r="K206" s="6" t="s">
        <v>62</v>
      </c>
      <c r="L206" s="8" t="b">
        <f ca="1">AND(IF(DB_TBL_DATA_FIELDS[[#This Row],[FIELD_VALID_CUSTOM_LOGIC]]="",TRUE,DB_TBL_DATA_FIELDS[[#This Row],[FIELD_VALID_CUSTOM_LOGIC]]),DB_TBL_DATA_FIELDS[[#This Row],[RANGE_VALIDATION_PASSED_FLAG]])</f>
        <v>0</v>
      </c>
      <c r="M206"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06" s="8">
        <f ca="1">IF(DB_TBL_DATA_FIELDS[[#This Row],[SHEET_REF_CALC]]="","",IF(DB_TBL_DATA_FIELDS[[#This Row],[FIELD_EMPTY_FLAG]],IF(NOT(DB_TBL_DATA_FIELDS[[#This Row],[FIELD_REQ_FLAG]]),-1,1),IF(NOT(DB_TBL_DATA_FIELDS[[#This Row],[FIELD_VALID_FLAG]]),0,2)))</f>
        <v>1</v>
      </c>
      <c r="O206" s="8" t="str">
        <f ca="1">IFERROR(VLOOKUP(DB_TBL_DATA_FIELDS[[#This Row],[FIELD_STATUS_CODE]],DB_TBL_CONFIG_FIELDSTATUSCODES[#All],3,FALSE),"")</f>
        <v>Required</v>
      </c>
      <c r="P206" s="8" t="str">
        <f ca="1">IFERROR(VLOOKUP(DB_TBL_DATA_FIELDS[[#This Row],[FIELD_STATUS_CODE]],DB_TBL_CONFIG_FIELDSTATUSCODES[#All],4,FALSE),"")</f>
        <v>i</v>
      </c>
      <c r="Q206" s="8" t="b">
        <f>TRUE</f>
        <v>1</v>
      </c>
      <c r="R206" s="8" t="b">
        <f>TRUE</f>
        <v>1</v>
      </c>
      <c r="S206" s="4" t="s">
        <v>62</v>
      </c>
      <c r="T206" s="8">
        <f ca="1">IF(DB_TBL_DATA_FIELDS[[#This Row],[RANGE_VALIDATION_FLAG]]="Text",LEN(DB_TBL_DATA_FIELDS[[#This Row],[FIELD_VALUE_RAW]]),IFERROR(VALUE(DB_TBL_DATA_FIELDS[[#This Row],[FIELD_VALUE_RAW]]),-1))</f>
        <v>-1</v>
      </c>
      <c r="U206" s="8">
        <v>0</v>
      </c>
      <c r="V206" s="8">
        <v>999999999999</v>
      </c>
      <c r="W206" s="8" t="b">
        <f ca="1">IF(NOT(DB_TBL_DATA_FIELDS[[#This Row],[RANGE_VALIDATION_ON_FLAG]]),TRUE,
AND(DB_TBL_DATA_FIELDS[[#This Row],[RANGE_VALUE_LEN]]&gt;=DB_TBL_DATA_FIELDS[[#This Row],[RANGE_VALIDATION_MIN]],DB_TBL_DATA_FIELDS[[#This Row],[RANGE_VALUE_LEN]]&lt;=DB_TBL_DATA_FIELDS[[#This Row],[RANGE_VALIDATION_MAX]]))</f>
        <v>0</v>
      </c>
      <c r="X206" s="8">
        <v>1</v>
      </c>
      <c r="Y206" s="8">
        <f ca="1">IF(DB_TBL_DATA_FIELDS[[#This Row],[PCT_CALC_SHOW_STATUS_CODE]]=1,
DB_TBL_DATA_FIELDS[[#This Row],[FIELD_STATUS_CODE]],
IF(AND(DB_TBL_DATA_FIELDS[[#This Row],[PCT_CALC_SHOW_STATUS_CODE]]=2,DB_TBL_DATA_FIELDS[[#This Row],[FIELD_STATUS_CODE]]=0),
DB_TBL_DATA_FIELDS[[#This Row],[FIELD_STATUS_CODE]],
"")
)</f>
        <v>1</v>
      </c>
      <c r="Z206" s="101" t="str">
        <f ca="1">IF(DB_TBL_DATA_FIELDS[[#This Row],[FIELD_VALID_CUSTOM_LOGIC]]="","",IF(NOT(DB_TBL_DATA_FIELDS[[#This Row],[FIELD_VALID_CUSTOM_LOGIC]]),"Exceeds Total Project Units",""))</f>
        <v/>
      </c>
      <c r="AA206" s="11" t="s">
        <v>2924</v>
      </c>
      <c r="AB206" s="11" t="s">
        <v>2873</v>
      </c>
      <c r="AC206" s="8"/>
    </row>
    <row r="207" spans="1:29" ht="13.5" thickBot="1" x14ac:dyDescent="0.25">
      <c r="A207" s="67"/>
      <c r="B207" s="67" t="s">
        <v>64</v>
      </c>
      <c r="C207" s="69" t="str">
        <f ca="1">IF($H$10&lt;&gt;"R",IF(DB_TBL_DATA_FIELDS[[#This Row],[SHEET_REF_OWNER]]&lt;&gt;"",DB_TBL_DATA_FIELDS[[#This Row],[SHEET_REF_OWNER]],""),IF(DB_TBL_DATA_FIELDS[[#This Row],[SHEET_REF_RENTAL]]&lt;&gt;"",DB_TBL_DATA_FIELDS[[#This Row],[SHEET_REF_RENTAL]],""))</f>
        <v>RentalApp</v>
      </c>
      <c r="D207" s="337" t="s">
        <v>2877</v>
      </c>
      <c r="E207" s="95" t="b">
        <v>1</v>
      </c>
      <c r="F207" s="71" t="b">
        <v>1</v>
      </c>
      <c r="G207" s="72" t="s">
        <v>2921</v>
      </c>
      <c r="H207" s="97" t="str">
        <f ca="1">IFERROR(VLOOKUP(DB_TBL_DATA_FIELDS[[#This Row],[FIELD_ID]],INDIRECT(DB_TBL_DATA_FIELDS[[#This Row],[SHEET_REF_CALC]]&amp;"!A:B"),2,FALSE),"")</f>
        <v/>
      </c>
      <c r="I207" s="76" t="str">
        <f ca="1">IF(DB_TBL_DATA_FIELDS[[#This Row],[FIELD_EMPTY_FLAG]],"",DB_TBL_DATA_FIELDS[[#This Row],[FIELD_VALUE_RAW]]&lt;=DATA_TOTAL_UNITS)</f>
        <v/>
      </c>
      <c r="J207" s="72" t="b">
        <f ca="1">(DB_TBL_DATA_FIELDS[[#This Row],[FIELD_VALUE_RAW]]="")</f>
        <v>1</v>
      </c>
      <c r="K207" s="72" t="s">
        <v>62</v>
      </c>
      <c r="L207" s="68" t="b">
        <f ca="1">AND(IF(DB_TBL_DATA_FIELDS[[#This Row],[FIELD_VALID_CUSTOM_LOGIC]]="",TRUE,DB_TBL_DATA_FIELDS[[#This Row],[FIELD_VALID_CUSTOM_LOGIC]]),DB_TBL_DATA_FIELDS[[#This Row],[RANGE_VALIDATION_PASSED_FLAG]])</f>
        <v>0</v>
      </c>
      <c r="M207" s="7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07" s="68">
        <f ca="1">IF(DB_TBL_DATA_FIELDS[[#This Row],[SHEET_REF_CALC]]="","",IF(DB_TBL_DATA_FIELDS[[#This Row],[FIELD_EMPTY_FLAG]],IF(NOT(DB_TBL_DATA_FIELDS[[#This Row],[FIELD_REQ_FLAG]]),-1,1),IF(NOT(DB_TBL_DATA_FIELDS[[#This Row],[FIELD_VALID_FLAG]]),0,2)))</f>
        <v>1</v>
      </c>
      <c r="O207" s="68" t="str">
        <f ca="1">IFERROR(VLOOKUP(DB_TBL_DATA_FIELDS[[#This Row],[FIELD_STATUS_CODE]],DB_TBL_CONFIG_FIELDSTATUSCODES[#All],3,FALSE),"")</f>
        <v>Required</v>
      </c>
      <c r="P207" s="68" t="str">
        <f ca="1">IFERROR(VLOOKUP(DB_TBL_DATA_FIELDS[[#This Row],[FIELD_STATUS_CODE]],DB_TBL_CONFIG_FIELDSTATUSCODES[#All],4,FALSE),"")</f>
        <v>i</v>
      </c>
      <c r="Q207" s="68" t="b">
        <f>TRUE</f>
        <v>1</v>
      </c>
      <c r="R207" s="68" t="b">
        <f>TRUE</f>
        <v>1</v>
      </c>
      <c r="S207" s="67" t="s">
        <v>62</v>
      </c>
      <c r="T207" s="68">
        <f ca="1">IF(DB_TBL_DATA_FIELDS[[#This Row],[RANGE_VALIDATION_FLAG]]="Text",LEN(DB_TBL_DATA_FIELDS[[#This Row],[FIELD_VALUE_RAW]]),IFERROR(VALUE(DB_TBL_DATA_FIELDS[[#This Row],[FIELD_VALUE_RAW]]),-1))</f>
        <v>-1</v>
      </c>
      <c r="U207" s="68">
        <v>0</v>
      </c>
      <c r="V207" s="68">
        <v>999999999999</v>
      </c>
      <c r="W207" s="68" t="b">
        <f ca="1">IF(NOT(DB_TBL_DATA_FIELDS[[#This Row],[RANGE_VALIDATION_ON_FLAG]]),TRUE,
AND(DB_TBL_DATA_FIELDS[[#This Row],[RANGE_VALUE_LEN]]&gt;=DB_TBL_DATA_FIELDS[[#This Row],[RANGE_VALIDATION_MIN]],DB_TBL_DATA_FIELDS[[#This Row],[RANGE_VALUE_LEN]]&lt;=DB_TBL_DATA_FIELDS[[#This Row],[RANGE_VALIDATION_MAX]]))</f>
        <v>0</v>
      </c>
      <c r="X207" s="68">
        <v>1</v>
      </c>
      <c r="Y207" s="68">
        <f ca="1">IF(DB_TBL_DATA_FIELDS[[#This Row],[PCT_CALC_SHOW_STATUS_CODE]]=1,
DB_TBL_DATA_FIELDS[[#This Row],[FIELD_STATUS_CODE]],
IF(AND(DB_TBL_DATA_FIELDS[[#This Row],[PCT_CALC_SHOW_STATUS_CODE]]=2,DB_TBL_DATA_FIELDS[[#This Row],[FIELD_STATUS_CODE]]=0),
DB_TBL_DATA_FIELDS[[#This Row],[FIELD_STATUS_CODE]],
"")
)</f>
        <v>1</v>
      </c>
      <c r="Z207" s="102" t="str">
        <f ca="1">IF(DB_TBL_DATA_FIELDS[[#This Row],[FIELD_VALID_CUSTOM_LOGIC]]="","",IF(NOT(DB_TBL_DATA_FIELDS[[#This Row],[FIELD_VALID_CUSTOM_LOGIC]]),"Exceeds Total Project Units",""))</f>
        <v/>
      </c>
      <c r="AA207" s="73" t="s">
        <v>2926</v>
      </c>
      <c r="AB207" s="73" t="s">
        <v>2873</v>
      </c>
      <c r="AC207" s="68"/>
    </row>
    <row r="208" spans="1:29" x14ac:dyDescent="0.2">
      <c r="A208" s="4" t="s">
        <v>65</v>
      </c>
      <c r="B208" s="4" t="s">
        <v>64</v>
      </c>
      <c r="C208" s="8" t="str">
        <f ca="1">IF($H$10&lt;&gt;"R",IF(DB_TBL_DATA_FIELDS[[#This Row],[SHEET_REF_OWNER]]&lt;&gt;"",DB_TBL_DATA_FIELDS[[#This Row],[SHEET_REF_OWNER]],""),IF(DB_TBL_DATA_FIELDS[[#This Row],[SHEET_REF_RENTAL]]&lt;&gt;"",DB_TBL_DATA_FIELDS[[#This Row],[SHEET_REF_RENTAL]],""))</f>
        <v>RentalApp</v>
      </c>
      <c r="D208" s="6" t="s">
        <v>2962</v>
      </c>
      <c r="E208" s="91" t="b">
        <v>1</v>
      </c>
      <c r="F208" s="25" t="b">
        <v>1</v>
      </c>
      <c r="G208" s="6" t="s">
        <v>3015</v>
      </c>
      <c r="H208" s="11" t="str">
        <f ca="1">IFERROR(VLOOKUP(DB_TBL_DATA_FIELDS[[#This Row],[FIELD_ID]],INDIRECT(DB_TBL_DATA_FIELDS[[#This Row],[SHEET_REF_CALC]]&amp;"!A:B"),2,FALSE),"")</f>
        <v/>
      </c>
      <c r="I208" s="11"/>
      <c r="J208" s="6" t="b">
        <f ca="1">(DB_TBL_DATA_FIELDS[[#This Row],[FIELD_VALUE_RAW]]="")</f>
        <v>1</v>
      </c>
      <c r="K208" s="6" t="s">
        <v>11</v>
      </c>
      <c r="L208" s="8" t="b">
        <f ca="1">AND(IF(DB_TBL_DATA_FIELDS[[#This Row],[FIELD_VALID_CUSTOM_LOGIC]]="",TRUE,DB_TBL_DATA_FIELDS[[#This Row],[FIELD_VALID_CUSTOM_LOGIC]]),DB_TBL_DATA_FIELDS[[#This Row],[RANGE_VALIDATION_PASSED_FLAG]])</f>
        <v>1</v>
      </c>
      <c r="M208"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08" s="8">
        <f ca="1">IF(DB_TBL_DATA_FIELDS[[#This Row],[SHEET_REF_CALC]]="","",IF(DB_TBL_DATA_FIELDS[[#This Row],[FIELD_EMPTY_FLAG]],IF(NOT(DB_TBL_DATA_FIELDS[[#This Row],[FIELD_REQ_FLAG]]),-1,1),IF(NOT(DB_TBL_DATA_FIELDS[[#This Row],[FIELD_VALID_FLAG]]),0,2)))</f>
        <v>1</v>
      </c>
      <c r="O208" s="8" t="str">
        <f ca="1">IFERROR(VLOOKUP(DB_TBL_DATA_FIELDS[[#This Row],[FIELD_STATUS_CODE]],DB_TBL_CONFIG_FIELDSTATUSCODES[#All],3,FALSE),"")</f>
        <v>Required</v>
      </c>
      <c r="P208" s="8" t="str">
        <f ca="1">IFERROR(VLOOKUP(DB_TBL_DATA_FIELDS[[#This Row],[FIELD_STATUS_CODE]],DB_TBL_CONFIG_FIELDSTATUSCODES[#All],4,FALSE),"")</f>
        <v>i</v>
      </c>
      <c r="Q208" s="8" t="b">
        <f>TRUE</f>
        <v>1</v>
      </c>
      <c r="R208" s="8" t="b">
        <f>TRUE</f>
        <v>1</v>
      </c>
      <c r="S208" s="4" t="s">
        <v>11</v>
      </c>
      <c r="T208" s="8">
        <f ca="1">IF(DB_TBL_DATA_FIELDS[[#This Row],[RANGE_VALIDATION_FLAG]]="Text",LEN(DB_TBL_DATA_FIELDS[[#This Row],[FIELD_VALUE_RAW]]),IFERROR(VALUE(DB_TBL_DATA_FIELDS[[#This Row],[FIELD_VALUE_RAW]]),-1))</f>
        <v>0</v>
      </c>
      <c r="U208" s="8">
        <v>0</v>
      </c>
      <c r="V208" s="8">
        <v>100</v>
      </c>
      <c r="W208" s="8" t="b">
        <f ca="1">IF(NOT(DB_TBL_DATA_FIELDS[[#This Row],[RANGE_VALIDATION_ON_FLAG]]),TRUE,
AND(DB_TBL_DATA_FIELDS[[#This Row],[RANGE_VALUE_LEN]]&gt;=DB_TBL_DATA_FIELDS[[#This Row],[RANGE_VALIDATION_MIN]],DB_TBL_DATA_FIELDS[[#This Row],[RANGE_VALUE_LEN]]&lt;=DB_TBL_DATA_FIELDS[[#This Row],[RANGE_VALIDATION_MAX]]))</f>
        <v>1</v>
      </c>
      <c r="X208" s="8">
        <v>1</v>
      </c>
      <c r="Y208" s="8">
        <f ca="1">IF(DB_TBL_DATA_FIELDS[[#This Row],[PCT_CALC_SHOW_STATUS_CODE]]=1,
DB_TBL_DATA_FIELDS[[#This Row],[FIELD_STATUS_CODE]],
IF(AND(DB_TBL_DATA_FIELDS[[#This Row],[PCT_CALC_SHOW_STATUS_CODE]]=2,DB_TBL_DATA_FIELDS[[#This Row],[FIELD_STATUS_CODE]]=0),
DB_TBL_DATA_FIELDS[[#This Row],[FIELD_STATUS_CODE]],
"")
)</f>
        <v>1</v>
      </c>
      <c r="Z208" s="8"/>
      <c r="AA208" s="11" t="s">
        <v>2932</v>
      </c>
      <c r="AB208" s="11" t="s">
        <v>2931</v>
      </c>
      <c r="AC208" s="8"/>
    </row>
    <row r="209" spans="1:29" x14ac:dyDescent="0.2">
      <c r="A209" s="4" t="s">
        <v>65</v>
      </c>
      <c r="B209" s="4" t="s">
        <v>64</v>
      </c>
      <c r="C209" s="8" t="str">
        <f ca="1">IF($H$10&lt;&gt;"R",IF(DB_TBL_DATA_FIELDS[[#This Row],[SHEET_REF_OWNER]]&lt;&gt;"",DB_TBL_DATA_FIELDS[[#This Row],[SHEET_REF_OWNER]],""),IF(DB_TBL_DATA_FIELDS[[#This Row],[SHEET_REF_RENTAL]]&lt;&gt;"",DB_TBL_DATA_FIELDS[[#This Row],[SHEET_REF_RENTAL]],""))</f>
        <v>RentalApp</v>
      </c>
      <c r="D209" s="116" t="s">
        <v>2963</v>
      </c>
      <c r="E209" s="91" t="b">
        <v>1</v>
      </c>
      <c r="F209" s="117" t="b">
        <v>0</v>
      </c>
      <c r="G209" s="116" t="s">
        <v>3014</v>
      </c>
      <c r="H209" s="120"/>
      <c r="I209" s="29" t="str">
        <f>IF(NOT(DB_TBL_DATA_FIELDS[[#This Row],[FIELD_EMPTY_FLAG]]),DB_TBL_DATA_FIELDS[[#This Row],[FIELD_REQ_FLAG]],"")</f>
        <v/>
      </c>
      <c r="J209" s="6" t="b">
        <f>(DB_TBL_DATA_FIELDS[[#This Row],[FIELD_VALUE_RAW]]="")</f>
        <v>1</v>
      </c>
      <c r="K209" s="6" t="s">
        <v>209</v>
      </c>
      <c r="L209" s="8" t="b">
        <f>AND(IF(DB_TBL_DATA_FIELDS[[#This Row],[FIELD_VALID_CUSTOM_LOGIC]]="",TRUE,DB_TBL_DATA_FIELDS[[#This Row],[FIELD_VALID_CUSTOM_LOGIC]]),DB_TBL_DATA_FIELDS[[#This Row],[RANGE_VALIDATION_PASSED_FLAG]])</f>
        <v>1</v>
      </c>
      <c r="M209" s="11"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09" s="8">
        <f ca="1">IF(DB_TBL_DATA_FIELDS[[#This Row],[SHEET_REF_CALC]]="","",IF(DB_TBL_DATA_FIELDS[[#This Row],[FIELD_EMPTY_FLAG]],IF(NOT(DB_TBL_DATA_FIELDS[[#This Row],[FIELD_REQ_FLAG]]),-1,1),IF(NOT(DB_TBL_DATA_FIELDS[[#This Row],[FIELD_VALID_FLAG]]),0,2)))</f>
        <v>-1</v>
      </c>
      <c r="O209" s="8" t="str">
        <f ca="1">IFERROR(VLOOKUP(DB_TBL_DATA_FIELDS[[#This Row],[FIELD_STATUS_CODE]],DB_TBL_CONFIG_FIELDSTATUSCODES[#All],3,FALSE),"")</f>
        <v>Optional</v>
      </c>
      <c r="P209" s="8" t="str">
        <f ca="1">IFERROR(VLOOKUP(DB_TBL_DATA_FIELDS[[#This Row],[FIELD_STATUS_CODE]],DB_TBL_CONFIG_FIELDSTATUSCODES[#All],4,FALSE),"")</f>
        <v xml:space="preserve"> </v>
      </c>
      <c r="Q209" s="8" t="b">
        <f>TRUE</f>
        <v>1</v>
      </c>
      <c r="R209" s="8" t="b">
        <v>0</v>
      </c>
      <c r="S209" s="4"/>
      <c r="T209" s="8">
        <f>IF(DB_TBL_DATA_FIELDS[[#This Row],[RANGE_VALIDATION_FLAG]]="Text",LEN(DB_TBL_DATA_FIELDS[[#This Row],[FIELD_VALUE_RAW]]),IFERROR(VALUE(DB_TBL_DATA_FIELDS[[#This Row],[FIELD_VALUE_RAW]]),-1))</f>
        <v>0</v>
      </c>
      <c r="U209" s="8">
        <v>0</v>
      </c>
      <c r="V209" s="8">
        <v>1</v>
      </c>
      <c r="W209" s="8" t="b">
        <f>IF(NOT(DB_TBL_DATA_FIELDS[[#This Row],[RANGE_VALIDATION_ON_FLAG]]),TRUE,
AND(DB_TBL_DATA_FIELDS[[#This Row],[RANGE_VALUE_LEN]]&gt;=DB_TBL_DATA_FIELDS[[#This Row],[RANGE_VALIDATION_MIN]],DB_TBL_DATA_FIELDS[[#This Row],[RANGE_VALUE_LEN]]&lt;=DB_TBL_DATA_FIELDS[[#This Row],[RANGE_VALIDATION_MAX]]))</f>
        <v>1</v>
      </c>
      <c r="X209" s="8">
        <v>1</v>
      </c>
      <c r="Y209" s="8">
        <f ca="1">IF(DB_TBL_DATA_FIELDS[[#This Row],[PCT_CALC_SHOW_STATUS_CODE]]=1,
DB_TBL_DATA_FIELDS[[#This Row],[FIELD_STATUS_CODE]],
IF(AND(DB_TBL_DATA_FIELDS[[#This Row],[PCT_CALC_SHOW_STATUS_CODE]]=2,DB_TBL_DATA_FIELDS[[#This Row],[FIELD_STATUS_CODE]]=0),
DB_TBL_DATA_FIELDS[[#This Row],[FIELD_STATUS_CODE]],
"")
)</f>
        <v>-1</v>
      </c>
      <c r="Z209" s="8"/>
      <c r="AA209" s="11" t="s">
        <v>2933</v>
      </c>
      <c r="AB209" s="11" t="s">
        <v>2931</v>
      </c>
      <c r="AC209" s="8"/>
    </row>
    <row r="210" spans="1:29" x14ac:dyDescent="0.2">
      <c r="A210" s="4" t="s">
        <v>65</v>
      </c>
      <c r="B210" s="4" t="s">
        <v>64</v>
      </c>
      <c r="C210" s="8" t="str">
        <f ca="1">IF($H$10&lt;&gt;"R",IF(DB_TBL_DATA_FIELDS[[#This Row],[SHEET_REF_OWNER]]&lt;&gt;"",DB_TBL_DATA_FIELDS[[#This Row],[SHEET_REF_OWNER]],""),IF(DB_TBL_DATA_FIELDS[[#This Row],[SHEET_REF_RENTAL]]&lt;&gt;"",DB_TBL_DATA_FIELDS[[#This Row],[SHEET_REF_RENTAL]],""))</f>
        <v>RentalApp</v>
      </c>
      <c r="D210" s="6" t="s">
        <v>2964</v>
      </c>
      <c r="E210" s="4" t="b">
        <v>0</v>
      </c>
      <c r="F210" s="25" t="b">
        <v>1</v>
      </c>
      <c r="G210" s="6" t="s">
        <v>3013</v>
      </c>
      <c r="H210" s="11" t="str">
        <f ca="1">IFERROR(VLOOKUP(DB_TBL_DATA_FIELDS[[#This Row],[FIELD_ID]],INDIRECT(DB_TBL_DATA_FIELDS[[#This Row],[SHEET_REF_CALC]]&amp;"!A:B"),2,FALSE),"")</f>
        <v/>
      </c>
      <c r="I210" s="11"/>
      <c r="J210" s="6" t="b">
        <f ca="1">(DB_TBL_DATA_FIELDS[[#This Row],[FIELD_VALUE_RAW]]="")</f>
        <v>1</v>
      </c>
      <c r="K210" s="6" t="s">
        <v>209</v>
      </c>
      <c r="L210" s="8" t="b">
        <f>AND(IF(DB_TBL_DATA_FIELDS[[#This Row],[FIELD_VALID_CUSTOM_LOGIC]]="",TRUE,DB_TBL_DATA_FIELDS[[#This Row],[FIELD_VALID_CUSTOM_LOGIC]]),DB_TBL_DATA_FIELDS[[#This Row],[RANGE_VALIDATION_PASSED_FLAG]])</f>
        <v>1</v>
      </c>
      <c r="M210"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10" s="8">
        <f ca="1">IF(DB_TBL_DATA_FIELDS[[#This Row],[SHEET_REF_CALC]]="","",IF(DB_TBL_DATA_FIELDS[[#This Row],[FIELD_EMPTY_FLAG]],IF(NOT(DB_TBL_DATA_FIELDS[[#This Row],[FIELD_REQ_FLAG]]),-1,1),IF(NOT(DB_TBL_DATA_FIELDS[[#This Row],[FIELD_VALID_FLAG]]),0,2)))</f>
        <v>1</v>
      </c>
      <c r="O210" s="8" t="str">
        <f ca="1">IFERROR(VLOOKUP(DB_TBL_DATA_FIELDS[[#This Row],[FIELD_STATUS_CODE]],DB_TBL_CONFIG_FIELDSTATUSCODES[#All],3,FALSE),"")</f>
        <v>Required</v>
      </c>
      <c r="P210" s="8" t="str">
        <f ca="1">IFERROR(VLOOKUP(DB_TBL_DATA_FIELDS[[#This Row],[FIELD_STATUS_CODE]],DB_TBL_CONFIG_FIELDSTATUSCODES[#All],4,FALSE),"")</f>
        <v>i</v>
      </c>
      <c r="Q210" s="8" t="b">
        <f>TRUE</f>
        <v>1</v>
      </c>
      <c r="R210" s="8" t="b">
        <v>0</v>
      </c>
      <c r="S210" s="4"/>
      <c r="T210" s="8">
        <f ca="1">IF(DB_TBL_DATA_FIELDS[[#This Row],[RANGE_VALIDATION_FLAG]]="Text",LEN(DB_TBL_DATA_FIELDS[[#This Row],[FIELD_VALUE_RAW]]),IFERROR(VALUE(DB_TBL_DATA_FIELDS[[#This Row],[FIELD_VALUE_RAW]]),-1))</f>
        <v>-1</v>
      </c>
      <c r="U210" s="8">
        <v>0</v>
      </c>
      <c r="V210" s="8">
        <v>1</v>
      </c>
      <c r="W210" s="8" t="b">
        <f>IF(NOT(DB_TBL_DATA_FIELDS[[#This Row],[RANGE_VALIDATION_ON_FLAG]]),TRUE,
AND(DB_TBL_DATA_FIELDS[[#This Row],[RANGE_VALUE_LEN]]&gt;=DB_TBL_DATA_FIELDS[[#This Row],[RANGE_VALIDATION_MIN]],DB_TBL_DATA_FIELDS[[#This Row],[RANGE_VALUE_LEN]]&lt;=DB_TBL_DATA_FIELDS[[#This Row],[RANGE_VALIDATION_MAX]]))</f>
        <v>1</v>
      </c>
      <c r="X210" s="8">
        <v>1</v>
      </c>
      <c r="Y210" s="8">
        <f ca="1">IF(DB_TBL_DATA_FIELDS[[#This Row],[PCT_CALC_SHOW_STATUS_CODE]]=1,
DB_TBL_DATA_FIELDS[[#This Row],[FIELD_STATUS_CODE]],
IF(AND(DB_TBL_DATA_FIELDS[[#This Row],[PCT_CALC_SHOW_STATUS_CODE]]=2,DB_TBL_DATA_FIELDS[[#This Row],[FIELD_STATUS_CODE]]=0),
DB_TBL_DATA_FIELDS[[#This Row],[FIELD_STATUS_CODE]],
"")
)</f>
        <v>1</v>
      </c>
      <c r="Z210" s="8"/>
      <c r="AA210" s="11" t="s">
        <v>2934</v>
      </c>
      <c r="AB210" s="11" t="s">
        <v>2931</v>
      </c>
      <c r="AC210" s="8"/>
    </row>
    <row r="211" spans="1:29" x14ac:dyDescent="0.2">
      <c r="A211" s="4"/>
      <c r="B211" s="4" t="s">
        <v>64</v>
      </c>
      <c r="C211" s="8" t="str">
        <f ca="1">IF($H$10&lt;&gt;"R",IF(DB_TBL_DATA_FIELDS[[#This Row],[SHEET_REF_OWNER]]&lt;&gt;"",DB_TBL_DATA_FIELDS[[#This Row],[SHEET_REF_OWNER]],""),IF(DB_TBL_DATA_FIELDS[[#This Row],[SHEET_REF_RENTAL]]&lt;&gt;"",DB_TBL_DATA_FIELDS[[#This Row],[SHEET_REF_RENTAL]],""))</f>
        <v>RentalApp</v>
      </c>
      <c r="D211" s="371" t="s">
        <v>2965</v>
      </c>
      <c r="E211" s="91" t="b">
        <v>1</v>
      </c>
      <c r="F211" s="41" t="b">
        <f ca="1">IF(SPONSOR_CERTIFICATION_INDICATOR=FALSE,FALSE,TRUE)</f>
        <v>1</v>
      </c>
      <c r="G211" s="6" t="s">
        <v>3012</v>
      </c>
      <c r="H211" s="11" t="str">
        <f ca="1">IFERROR(VLOOKUP(DB_TBL_DATA_FIELDS[[#This Row],[FIELD_ID]],INDIRECT(DB_TBL_DATA_FIELDS[[#This Row],[SHEET_REF_CALC]]&amp;"!A:B"),2,FALSE),"")</f>
        <v/>
      </c>
      <c r="I211" s="29" t="str">
        <f ca="1">IF(DB_TBL_DATA_FIELDS[[#This Row],[FIELD_EMPTY_FLAG]],"",IF(SPONSOR_CERTIFICATION_INDICATOR=FALSE,FALSE,""))</f>
        <v/>
      </c>
      <c r="J211" s="6" t="b">
        <f ca="1">(DB_TBL_DATA_FIELDS[[#This Row],[FIELD_VALUE_RAW]]="")</f>
        <v>1</v>
      </c>
      <c r="K211" s="6" t="s">
        <v>11</v>
      </c>
      <c r="L211" s="8" t="b">
        <f ca="1">AND(IF(DB_TBL_DATA_FIELDS[[#This Row],[FIELD_VALID_CUSTOM_LOGIC]]="",TRUE,DB_TBL_DATA_FIELDS[[#This Row],[FIELD_VALID_CUSTOM_LOGIC]]),DB_TBL_DATA_FIELDS[[#This Row],[RANGE_VALIDATION_PASSED_FLAG]])</f>
        <v>1</v>
      </c>
      <c r="M211"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11" s="8">
        <f ca="1">IF(DB_TBL_DATA_FIELDS[[#This Row],[SHEET_REF_CALC]]="","",IF(DB_TBL_DATA_FIELDS[[#This Row],[FIELD_EMPTY_FLAG]],IF(NOT(DB_TBL_DATA_FIELDS[[#This Row],[FIELD_REQ_FLAG]]),-1,1),IF(NOT(DB_TBL_DATA_FIELDS[[#This Row],[FIELD_VALID_FLAG]]),0,2)))</f>
        <v>1</v>
      </c>
      <c r="O211" s="8" t="str">
        <f ca="1">IFERROR(VLOOKUP(DB_TBL_DATA_FIELDS[[#This Row],[FIELD_STATUS_CODE]],DB_TBL_CONFIG_FIELDSTATUSCODES[#All],3,FALSE),"")</f>
        <v>Required</v>
      </c>
      <c r="P211" s="8" t="str">
        <f ca="1">IFERROR(VLOOKUP(DB_TBL_DATA_FIELDS[[#This Row],[FIELD_STATUS_CODE]],DB_TBL_CONFIG_FIELDSTATUSCODES[#All],4,FALSE),"")</f>
        <v>i</v>
      </c>
      <c r="Q211" s="8" t="b">
        <f>TRUE</f>
        <v>1</v>
      </c>
      <c r="R211" s="8" t="b">
        <f>TRUE</f>
        <v>1</v>
      </c>
      <c r="S211" s="4" t="s">
        <v>11</v>
      </c>
      <c r="T211" s="8">
        <f ca="1">IF(DB_TBL_DATA_FIELDS[[#This Row],[RANGE_VALIDATION_FLAG]]="Text",LEN(DB_TBL_DATA_FIELDS[[#This Row],[FIELD_VALUE_RAW]]),IFERROR(VALUE(DB_TBL_DATA_FIELDS[[#This Row],[FIELD_VALUE_RAW]]),-1))</f>
        <v>0</v>
      </c>
      <c r="U211" s="8">
        <v>0</v>
      </c>
      <c r="V211" s="8">
        <v>50</v>
      </c>
      <c r="W211" s="8" t="b">
        <f ca="1">IF(NOT(DB_TBL_DATA_FIELDS[[#This Row],[RANGE_VALIDATION_ON_FLAG]]),TRUE,
AND(DB_TBL_DATA_FIELDS[[#This Row],[RANGE_VALUE_LEN]]&gt;=DB_TBL_DATA_FIELDS[[#This Row],[RANGE_VALIDATION_MIN]],DB_TBL_DATA_FIELDS[[#This Row],[RANGE_VALUE_LEN]]&lt;=DB_TBL_DATA_FIELDS[[#This Row],[RANGE_VALIDATION_MAX]]))</f>
        <v>1</v>
      </c>
      <c r="X211" s="8">
        <v>1</v>
      </c>
      <c r="Y211" s="8">
        <f ca="1">IF(DB_TBL_DATA_FIELDS[[#This Row],[PCT_CALC_SHOW_STATUS_CODE]]=1,
DB_TBL_DATA_FIELDS[[#This Row],[FIELD_STATUS_CODE]],
IF(AND(DB_TBL_DATA_FIELDS[[#This Row],[PCT_CALC_SHOW_STATUS_CODE]]=2,DB_TBL_DATA_FIELDS[[#This Row],[FIELD_STATUS_CODE]]=0),
DB_TBL_DATA_FIELDS[[#This Row],[FIELD_STATUS_CODE]],
"")
)</f>
        <v>1</v>
      </c>
      <c r="Z211" s="8"/>
      <c r="AA211" s="11" t="s">
        <v>2935</v>
      </c>
      <c r="AB211" s="11" t="s">
        <v>2931</v>
      </c>
      <c r="AC211" s="8"/>
    </row>
    <row r="212" spans="1:29" x14ac:dyDescent="0.2">
      <c r="A212" s="4"/>
      <c r="B212" s="4" t="s">
        <v>64</v>
      </c>
      <c r="C212" s="8" t="str">
        <f ca="1">IF($H$10&lt;&gt;"R",IF(DB_TBL_DATA_FIELDS[[#This Row],[SHEET_REF_OWNER]]&lt;&gt;"",DB_TBL_DATA_FIELDS[[#This Row],[SHEET_REF_OWNER]],""),IF(DB_TBL_DATA_FIELDS[[#This Row],[SHEET_REF_RENTAL]]&lt;&gt;"",DB_TBL_DATA_FIELDS[[#This Row],[SHEET_REF_RENTAL]],""))</f>
        <v>RentalApp</v>
      </c>
      <c r="D212" s="371" t="s">
        <v>3244</v>
      </c>
      <c r="E212" s="32" t="b">
        <v>0</v>
      </c>
      <c r="F212" s="41" t="b">
        <f ca="1">IF(SPONSOR_CERTIFICATION_INDICATOR=FALSE,FALSE,TRUE)</f>
        <v>1</v>
      </c>
      <c r="G212" s="6" t="s">
        <v>3245</v>
      </c>
      <c r="H212" s="11" t="str">
        <f ca="1">IFERROR(VLOOKUP(DB_TBL_DATA_FIELDS[[#This Row],[FIELD_ID]],INDIRECT(DB_TBL_DATA_FIELDS[[#This Row],[SHEET_REF_CALC]]&amp;"!A:B"),2,FALSE),"")</f>
        <v/>
      </c>
      <c r="I212" s="29" t="str">
        <f ca="1">IF(DB_TBL_DATA_FIELDS[[#This Row],[FIELD_EMPTY_FLAG]],"",IF(SPONSOR_CERTIFICATION_INDICATOR=FALSE,FALSE,""))</f>
        <v/>
      </c>
      <c r="J212" s="6" t="b">
        <f ca="1">(DB_TBL_DATA_FIELDS[[#This Row],[FIELD_VALUE_RAW]]="")</f>
        <v>1</v>
      </c>
      <c r="K212" s="6" t="s">
        <v>209</v>
      </c>
      <c r="L212" s="8" t="b">
        <f ca="1">AND(IF(DB_TBL_DATA_FIELDS[[#This Row],[FIELD_VALID_CUSTOM_LOGIC]]="",TRUE,DB_TBL_DATA_FIELDS[[#This Row],[FIELD_VALID_CUSTOM_LOGIC]]),DB_TBL_DATA_FIELDS[[#This Row],[RANGE_VALIDATION_PASSED_FLAG]])</f>
        <v>1</v>
      </c>
      <c r="M212"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12" s="8">
        <f ca="1">IF(DB_TBL_DATA_FIELDS[[#This Row],[SHEET_REF_CALC]]="","",IF(DB_TBL_DATA_FIELDS[[#This Row],[FIELD_EMPTY_FLAG]],IF(NOT(DB_TBL_DATA_FIELDS[[#This Row],[FIELD_REQ_FLAG]]),-1,1),IF(NOT(DB_TBL_DATA_FIELDS[[#This Row],[FIELD_VALID_FLAG]]),0,2)))</f>
        <v>1</v>
      </c>
      <c r="O212" s="8" t="str">
        <f ca="1">IFERROR(VLOOKUP(DB_TBL_DATA_FIELDS[[#This Row],[FIELD_STATUS_CODE]],DB_TBL_CONFIG_FIELDSTATUSCODES[#All],3,FALSE),"")</f>
        <v>Required</v>
      </c>
      <c r="P212" s="8" t="str">
        <f ca="1">IFERROR(VLOOKUP(DB_TBL_DATA_FIELDS[[#This Row],[FIELD_STATUS_CODE]],DB_TBL_CONFIG_FIELDSTATUSCODES[#All],4,FALSE),"")</f>
        <v>i</v>
      </c>
      <c r="Q212" s="8" t="b">
        <f>TRUE</f>
        <v>1</v>
      </c>
      <c r="R212" s="8" t="b">
        <v>0</v>
      </c>
      <c r="S212" s="4"/>
      <c r="T212" s="8">
        <f ca="1">IF(DB_TBL_DATA_FIELDS[[#This Row],[RANGE_VALIDATION_FLAG]]="Text",LEN(DB_TBL_DATA_FIELDS[[#This Row],[FIELD_VALUE_RAW]]),IFERROR(VALUE(DB_TBL_DATA_FIELDS[[#This Row],[FIELD_VALUE_RAW]]),-1))</f>
        <v>-1</v>
      </c>
      <c r="U212" s="8">
        <v>0</v>
      </c>
      <c r="V212" s="8">
        <v>1</v>
      </c>
      <c r="W212" s="8" t="b">
        <f>IF(NOT(DB_TBL_DATA_FIELDS[[#This Row],[RANGE_VALIDATION_ON_FLAG]]),TRUE,
AND(DB_TBL_DATA_FIELDS[[#This Row],[RANGE_VALUE_LEN]]&gt;=DB_TBL_DATA_FIELDS[[#This Row],[RANGE_VALIDATION_MIN]],DB_TBL_DATA_FIELDS[[#This Row],[RANGE_VALUE_LEN]]&lt;=DB_TBL_DATA_FIELDS[[#This Row],[RANGE_VALIDATION_MAX]]))</f>
        <v>1</v>
      </c>
      <c r="X212" s="8">
        <v>1</v>
      </c>
      <c r="Y212" s="8">
        <f ca="1">IF(DB_TBL_DATA_FIELDS[[#This Row],[PCT_CALC_SHOW_STATUS_CODE]]=1,
DB_TBL_DATA_FIELDS[[#This Row],[FIELD_STATUS_CODE]],
IF(AND(DB_TBL_DATA_FIELDS[[#This Row],[PCT_CALC_SHOW_STATUS_CODE]]=2,DB_TBL_DATA_FIELDS[[#This Row],[FIELD_STATUS_CODE]]=0),
DB_TBL_DATA_FIELDS[[#This Row],[FIELD_STATUS_CODE]],
"")
)</f>
        <v>1</v>
      </c>
      <c r="Z212" s="8"/>
      <c r="AA212" s="11" t="s">
        <v>3246</v>
      </c>
      <c r="AB212" s="11" t="s">
        <v>2931</v>
      </c>
      <c r="AC212" s="8" t="s">
        <v>3247</v>
      </c>
    </row>
    <row r="213" spans="1:29" x14ac:dyDescent="0.2">
      <c r="A213" s="4"/>
      <c r="B213" s="4" t="s">
        <v>64</v>
      </c>
      <c r="C213" s="8" t="str">
        <f ca="1">IF($H$10&lt;&gt;"R",IF(DB_TBL_DATA_FIELDS[[#This Row],[SHEET_REF_OWNER]]&lt;&gt;"",DB_TBL_DATA_FIELDS[[#This Row],[SHEET_REF_OWNER]],""),IF(DB_TBL_DATA_FIELDS[[#This Row],[SHEET_REF_RENTAL]]&lt;&gt;"",DB_TBL_DATA_FIELDS[[#This Row],[SHEET_REF_RENTAL]],""))</f>
        <v>RentalApp</v>
      </c>
      <c r="D213" s="371" t="s">
        <v>2966</v>
      </c>
      <c r="E213" s="4" t="b">
        <v>0</v>
      </c>
      <c r="F213" s="41" t="b">
        <f t="shared" ref="F213:F218" ca="1" si="4">IF(SPONSOR_CERTIFICATION_INDICATOR=FALSE,FALSE,(LIMITED_PARTNERSHIP_FLAG=TRUE))</f>
        <v>0</v>
      </c>
      <c r="G213" s="6" t="s">
        <v>3010</v>
      </c>
      <c r="H213" s="11" t="str">
        <f ca="1">IFERROR(VLOOKUP(DB_TBL_DATA_FIELDS[[#This Row],[FIELD_ID]],INDIRECT(DB_TBL_DATA_FIELDS[[#This Row],[SHEET_REF_CALC]]&amp;"!A:B"),2,FALSE),"")</f>
        <v/>
      </c>
      <c r="I213" s="29" t="str">
        <f ca="1">IF(DB_TBL_DATA_FIELDS[[#This Row],[FIELD_EMPTY_FLAG]],"",IF(SPONSOR_CERTIFICATION_INDICATOR=FALSE,FALSE,(LIMITED_PARTNERSHIP_FLAG=TRUE)))</f>
        <v/>
      </c>
      <c r="J213" s="6" t="b">
        <f ca="1">(DB_TBL_DATA_FIELDS[[#This Row],[FIELD_VALUE_RAW]]="")</f>
        <v>1</v>
      </c>
      <c r="K213" s="6" t="s">
        <v>62</v>
      </c>
      <c r="L213" s="8" t="b">
        <f ca="1">AND(IF(DB_TBL_DATA_FIELDS[[#This Row],[FIELD_VALID_CUSTOM_LOGIC]]="",TRUE,DB_TBL_DATA_FIELDS[[#This Row],[FIELD_VALID_CUSTOM_LOGIC]]),DB_TBL_DATA_FIELDS[[#This Row],[RANGE_VALIDATION_PASSED_FLAG]])</f>
        <v>0</v>
      </c>
      <c r="M213"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13" s="8">
        <f ca="1">IF(DB_TBL_DATA_FIELDS[[#This Row],[SHEET_REF_CALC]]="","",IF(DB_TBL_DATA_FIELDS[[#This Row],[FIELD_EMPTY_FLAG]],IF(NOT(DB_TBL_DATA_FIELDS[[#This Row],[FIELD_REQ_FLAG]]),-1,1),IF(NOT(DB_TBL_DATA_FIELDS[[#This Row],[FIELD_VALID_FLAG]]),0,2)))</f>
        <v>-1</v>
      </c>
      <c r="O213" s="8" t="str">
        <f ca="1">IFERROR(VLOOKUP(DB_TBL_DATA_FIELDS[[#This Row],[FIELD_STATUS_CODE]],DB_TBL_CONFIG_FIELDSTATUSCODES[#All],3,FALSE),"")</f>
        <v>Optional</v>
      </c>
      <c r="P213" s="8" t="str">
        <f ca="1">IFERROR(VLOOKUP(DB_TBL_DATA_FIELDS[[#This Row],[FIELD_STATUS_CODE]],DB_TBL_CONFIG_FIELDSTATUSCODES[#All],4,FALSE),"")</f>
        <v xml:space="preserve"> </v>
      </c>
      <c r="Q213" s="8" t="b">
        <f>TRUE</f>
        <v>1</v>
      </c>
      <c r="R213" s="8" t="b">
        <f>TRUE</f>
        <v>1</v>
      </c>
      <c r="S213" s="4" t="s">
        <v>62</v>
      </c>
      <c r="T213" s="8">
        <f ca="1">IF(DB_TBL_DATA_FIELDS[[#This Row],[RANGE_VALIDATION_FLAG]]="Text",LEN(DB_TBL_DATA_FIELDS[[#This Row],[FIELD_VALUE_RAW]]),IFERROR(VALUE(DB_TBL_DATA_FIELDS[[#This Row],[FIELD_VALUE_RAW]]),-1))</f>
        <v>-1</v>
      </c>
      <c r="U213" s="8">
        <v>0</v>
      </c>
      <c r="V213" s="8">
        <v>100</v>
      </c>
      <c r="W213" s="8" t="b">
        <f ca="1">IF(NOT(DB_TBL_DATA_FIELDS[[#This Row],[RANGE_VALIDATION_ON_FLAG]]),TRUE,
AND(DB_TBL_DATA_FIELDS[[#This Row],[RANGE_VALUE_LEN]]&gt;=DB_TBL_DATA_FIELDS[[#This Row],[RANGE_VALIDATION_MIN]],DB_TBL_DATA_FIELDS[[#This Row],[RANGE_VALUE_LEN]]&lt;=DB_TBL_DATA_FIELDS[[#This Row],[RANGE_VALIDATION_MAX]]))</f>
        <v>0</v>
      </c>
      <c r="X213" s="8">
        <v>1</v>
      </c>
      <c r="Y213" s="8">
        <f ca="1">IF(DB_TBL_DATA_FIELDS[[#This Row],[PCT_CALC_SHOW_STATUS_CODE]]=1,
DB_TBL_DATA_FIELDS[[#This Row],[FIELD_STATUS_CODE]],
IF(AND(DB_TBL_DATA_FIELDS[[#This Row],[PCT_CALC_SHOW_STATUS_CODE]]=2,DB_TBL_DATA_FIELDS[[#This Row],[FIELD_STATUS_CODE]]=0),
DB_TBL_DATA_FIELDS[[#This Row],[FIELD_STATUS_CODE]],
"")
)</f>
        <v>-1</v>
      </c>
      <c r="Z213" s="8"/>
      <c r="AA213" s="11" t="s">
        <v>2936</v>
      </c>
      <c r="AB213" s="11" t="s">
        <v>2931</v>
      </c>
      <c r="AC213" s="8"/>
    </row>
    <row r="214" spans="1:29" x14ac:dyDescent="0.2">
      <c r="A214" s="4"/>
      <c r="B214" s="4" t="s">
        <v>64</v>
      </c>
      <c r="C214" s="8" t="str">
        <f ca="1">IF($H$10&lt;&gt;"R",IF(DB_TBL_DATA_FIELDS[[#This Row],[SHEET_REF_OWNER]]&lt;&gt;"",DB_TBL_DATA_FIELDS[[#This Row],[SHEET_REF_OWNER]],""),IF(DB_TBL_DATA_FIELDS[[#This Row],[SHEET_REF_RENTAL]]&lt;&gt;"",DB_TBL_DATA_FIELDS[[#This Row],[SHEET_REF_RENTAL]],""))</f>
        <v>RentalApp</v>
      </c>
      <c r="D214" s="371" t="s">
        <v>2967</v>
      </c>
      <c r="E214" s="4" t="b">
        <v>0</v>
      </c>
      <c r="F214" s="41" t="b">
        <f t="shared" ca="1" si="4"/>
        <v>0</v>
      </c>
      <c r="G214" s="6" t="s">
        <v>3011</v>
      </c>
      <c r="H214" s="11" t="str">
        <f ca="1">IFERROR(VLOOKUP(DB_TBL_DATA_FIELDS[[#This Row],[FIELD_ID]],INDIRECT(DB_TBL_DATA_FIELDS[[#This Row],[SHEET_REF_CALC]]&amp;"!A:B"),2,FALSE),"")</f>
        <v/>
      </c>
      <c r="I214" s="29" t="str">
        <f ca="1">IF(DB_TBL_DATA_FIELDS[[#This Row],[FIELD_EMPTY_FLAG]],"",IF(SPONSOR_CERTIFICATION_INDICATOR=FALSE,FALSE,IF(LIMITED_PARTNERSHIP_FLAG=TRUE,IF(H213&lt;&gt;"",SUM(H213:H214)=100,""),FALSE)))</f>
        <v/>
      </c>
      <c r="J214" s="6" t="b">
        <f ca="1">(DB_TBL_DATA_FIELDS[[#This Row],[FIELD_VALUE_RAW]]="")</f>
        <v>1</v>
      </c>
      <c r="K214" s="6" t="s">
        <v>62</v>
      </c>
      <c r="L214" s="8" t="b">
        <f ca="1">AND(IF(DB_TBL_DATA_FIELDS[[#This Row],[FIELD_VALID_CUSTOM_LOGIC]]="",TRUE,DB_TBL_DATA_FIELDS[[#This Row],[FIELD_VALID_CUSTOM_LOGIC]]),DB_TBL_DATA_FIELDS[[#This Row],[RANGE_VALIDATION_PASSED_FLAG]])</f>
        <v>0</v>
      </c>
      <c r="M214"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14" s="8">
        <f ca="1">IF(DB_TBL_DATA_FIELDS[[#This Row],[SHEET_REF_CALC]]="","",IF(DB_TBL_DATA_FIELDS[[#This Row],[FIELD_EMPTY_FLAG]],IF(NOT(DB_TBL_DATA_FIELDS[[#This Row],[FIELD_REQ_FLAG]]),-1,1),IF(NOT(DB_TBL_DATA_FIELDS[[#This Row],[FIELD_VALID_FLAG]]),0,2)))</f>
        <v>-1</v>
      </c>
      <c r="O214" s="8" t="str">
        <f ca="1">IFERROR(VLOOKUP(DB_TBL_DATA_FIELDS[[#This Row],[FIELD_STATUS_CODE]],DB_TBL_CONFIG_FIELDSTATUSCODES[#All],3,FALSE),"")</f>
        <v>Optional</v>
      </c>
      <c r="P214" s="8" t="str">
        <f ca="1">IFERROR(VLOOKUP(DB_TBL_DATA_FIELDS[[#This Row],[FIELD_STATUS_CODE]],DB_TBL_CONFIG_FIELDSTATUSCODES[#All],4,FALSE),"")</f>
        <v xml:space="preserve"> </v>
      </c>
      <c r="Q214" s="8" t="b">
        <f>TRUE</f>
        <v>1</v>
      </c>
      <c r="R214" s="8" t="b">
        <f>TRUE</f>
        <v>1</v>
      </c>
      <c r="S214" s="4" t="s">
        <v>62</v>
      </c>
      <c r="T214" s="8">
        <f ca="1">IF(DB_TBL_DATA_FIELDS[[#This Row],[RANGE_VALIDATION_FLAG]]="Text",LEN(DB_TBL_DATA_FIELDS[[#This Row],[FIELD_VALUE_RAW]]),IFERROR(VALUE(DB_TBL_DATA_FIELDS[[#This Row],[FIELD_VALUE_RAW]]),-1))</f>
        <v>-1</v>
      </c>
      <c r="U214" s="8">
        <v>0</v>
      </c>
      <c r="V214" s="8">
        <v>100</v>
      </c>
      <c r="W214" s="8" t="b">
        <f ca="1">IF(NOT(DB_TBL_DATA_FIELDS[[#This Row],[RANGE_VALIDATION_ON_FLAG]]),TRUE,
AND(DB_TBL_DATA_FIELDS[[#This Row],[RANGE_VALUE_LEN]]&gt;=DB_TBL_DATA_FIELDS[[#This Row],[RANGE_VALIDATION_MIN]],DB_TBL_DATA_FIELDS[[#This Row],[RANGE_VALUE_LEN]]&lt;=DB_TBL_DATA_FIELDS[[#This Row],[RANGE_VALIDATION_MAX]]))</f>
        <v>0</v>
      </c>
      <c r="X214" s="8">
        <v>1</v>
      </c>
      <c r="Y214" s="8">
        <f ca="1">IF(DB_TBL_DATA_FIELDS[[#This Row],[PCT_CALC_SHOW_STATUS_CODE]]=1,
DB_TBL_DATA_FIELDS[[#This Row],[FIELD_STATUS_CODE]],
IF(AND(DB_TBL_DATA_FIELDS[[#This Row],[PCT_CALC_SHOW_STATUS_CODE]]=2,DB_TBL_DATA_FIELDS[[#This Row],[FIELD_STATUS_CODE]]=0),
DB_TBL_DATA_FIELDS[[#This Row],[FIELD_STATUS_CODE]],
"")
)</f>
        <v>-1</v>
      </c>
      <c r="Z214" s="101" t="str">
        <f ca="1">IF(DB_TBL_DATA_FIELDS[[#This Row],[FIELD_VALID_CUSTOM_LOGIC]]="","",IF(AND(NOT(DB_TBL_DATA_FIELDS[[#This Row],[FIELD_VALID_CUSTOM_LOGIC]]),I213=TRUE),"Ownership Interest Must Sum to 100%",""))</f>
        <v/>
      </c>
      <c r="AA214" s="11" t="s">
        <v>2937</v>
      </c>
      <c r="AB214" s="11" t="s">
        <v>2931</v>
      </c>
      <c r="AC214" s="8"/>
    </row>
    <row r="215" spans="1:29" x14ac:dyDescent="0.2">
      <c r="A215" s="4"/>
      <c r="B215" s="4" t="s">
        <v>64</v>
      </c>
      <c r="C215" s="8" t="str">
        <f ca="1">IF($H$10&lt;&gt;"R",IF(DB_TBL_DATA_FIELDS[[#This Row],[SHEET_REF_OWNER]]&lt;&gt;"",DB_TBL_DATA_FIELDS[[#This Row],[SHEET_REF_OWNER]],""),IF(DB_TBL_DATA_FIELDS[[#This Row],[SHEET_REF_RENTAL]]&lt;&gt;"",DB_TBL_DATA_FIELDS[[#This Row],[SHEET_REF_RENTAL]],""))</f>
        <v>RentalApp</v>
      </c>
      <c r="D215" s="371" t="s">
        <v>3392</v>
      </c>
      <c r="E215" s="4" t="b">
        <v>0</v>
      </c>
      <c r="F215" s="41" t="b">
        <f t="shared" ca="1" si="4"/>
        <v>0</v>
      </c>
      <c r="G215" s="6" t="s">
        <v>3390</v>
      </c>
      <c r="H215" s="11" t="str">
        <f ca="1">IFERROR(VLOOKUP(DB_TBL_DATA_FIELDS[[#This Row],[FIELD_ID]],INDIRECT(DB_TBL_DATA_FIELDS[[#This Row],[SHEET_REF_CALC]]&amp;"!A:B"),2,FALSE),"")</f>
        <v/>
      </c>
      <c r="I215" s="29" t="str">
        <f ca="1">IF(DB_TBL_DATA_FIELDS[[#This Row],[FIELD_EMPTY_FLAG]],"",IF(SPONSOR_CERTIFICATION_INDICATOR=FALSE,FALSE,(LIMITED_PARTNERSHIP_FLAG=TRUE)))</f>
        <v/>
      </c>
      <c r="J215" s="6" t="b">
        <f ca="1">(DB_TBL_DATA_FIELDS[[#This Row],[FIELD_VALUE_RAW]]="")</f>
        <v>1</v>
      </c>
      <c r="K215" s="6" t="s">
        <v>11</v>
      </c>
      <c r="L215" s="8" t="b">
        <f ca="1">AND(IF(DB_TBL_DATA_FIELDS[[#This Row],[FIELD_VALID_CUSTOM_LOGIC]]="",TRUE,DB_TBL_DATA_FIELDS[[#This Row],[FIELD_VALID_CUSTOM_LOGIC]]),DB_TBL_DATA_FIELDS[[#This Row],[RANGE_VALIDATION_PASSED_FLAG]])</f>
        <v>1</v>
      </c>
      <c r="M215"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15" s="8">
        <f ca="1">IF(DB_TBL_DATA_FIELDS[[#This Row],[SHEET_REF_CALC]]="","",IF(DB_TBL_DATA_FIELDS[[#This Row],[FIELD_EMPTY_FLAG]],IF(NOT(DB_TBL_DATA_FIELDS[[#This Row],[FIELD_REQ_FLAG]]),-1,1),IF(NOT(DB_TBL_DATA_FIELDS[[#This Row],[FIELD_VALID_FLAG]]),0,2)))</f>
        <v>-1</v>
      </c>
      <c r="O215" s="8" t="str">
        <f ca="1">IFERROR(VLOOKUP(DB_TBL_DATA_FIELDS[[#This Row],[FIELD_STATUS_CODE]],DB_TBL_CONFIG_FIELDSTATUSCODES[#All],3,FALSE),"")</f>
        <v>Optional</v>
      </c>
      <c r="P215" s="8" t="str">
        <f ca="1">IFERROR(VLOOKUP(DB_TBL_DATA_FIELDS[[#This Row],[FIELD_STATUS_CODE]],DB_TBL_CONFIG_FIELDSTATUSCODES[#All],4,FALSE),"")</f>
        <v xml:space="preserve"> </v>
      </c>
      <c r="Q215" s="8" t="b">
        <f>TRUE</f>
        <v>1</v>
      </c>
      <c r="R215" s="8" t="b">
        <f>TRUE</f>
        <v>1</v>
      </c>
      <c r="S215" s="4" t="s">
        <v>11</v>
      </c>
      <c r="T215" s="8">
        <f ca="1">IF(DB_TBL_DATA_FIELDS[[#This Row],[RANGE_VALIDATION_FLAG]]="Text",LEN(DB_TBL_DATA_FIELDS[[#This Row],[FIELD_VALUE_RAW]]),IFERROR(VALUE(DB_TBL_DATA_FIELDS[[#This Row],[FIELD_VALUE_RAW]]),-1))</f>
        <v>0</v>
      </c>
      <c r="U215" s="8">
        <v>0</v>
      </c>
      <c r="V215" s="8">
        <v>150</v>
      </c>
      <c r="W215" s="8" t="b">
        <f ca="1">IF(NOT(DB_TBL_DATA_FIELDS[[#This Row],[RANGE_VALIDATION_ON_FLAG]]),TRUE,
AND(DB_TBL_DATA_FIELDS[[#This Row],[RANGE_VALUE_LEN]]&gt;=DB_TBL_DATA_FIELDS[[#This Row],[RANGE_VALIDATION_MIN]],DB_TBL_DATA_FIELDS[[#This Row],[RANGE_VALUE_LEN]]&lt;=DB_TBL_DATA_FIELDS[[#This Row],[RANGE_VALIDATION_MAX]]))</f>
        <v>1</v>
      </c>
      <c r="X215" s="8">
        <v>1</v>
      </c>
      <c r="Y215" s="8">
        <f ca="1">IF(DB_TBL_DATA_FIELDS[[#This Row],[PCT_CALC_SHOW_STATUS_CODE]]=1,
DB_TBL_DATA_FIELDS[[#This Row],[FIELD_STATUS_CODE]],
IF(AND(DB_TBL_DATA_FIELDS[[#This Row],[PCT_CALC_SHOW_STATUS_CODE]]=2,DB_TBL_DATA_FIELDS[[#This Row],[FIELD_STATUS_CODE]]=0),
DB_TBL_DATA_FIELDS[[#This Row],[FIELD_STATUS_CODE]],
"")
)</f>
        <v>-1</v>
      </c>
      <c r="Z215" s="34"/>
      <c r="AA215" s="11" t="s">
        <v>3391</v>
      </c>
      <c r="AB215" s="11" t="s">
        <v>2931</v>
      </c>
      <c r="AC215" s="8" t="s">
        <v>3247</v>
      </c>
    </row>
    <row r="216" spans="1:29" x14ac:dyDescent="0.2">
      <c r="A216" s="4"/>
      <c r="B216" s="4" t="s">
        <v>64</v>
      </c>
      <c r="C216" s="8" t="str">
        <f ca="1">IF($H$10&lt;&gt;"R",IF(DB_TBL_DATA_FIELDS[[#This Row],[SHEET_REF_OWNER]]&lt;&gt;"",DB_TBL_DATA_FIELDS[[#This Row],[SHEET_REF_OWNER]],""),IF(DB_TBL_DATA_FIELDS[[#This Row],[SHEET_REF_RENTAL]]&lt;&gt;"",DB_TBL_DATA_FIELDS[[#This Row],[SHEET_REF_RENTAL]],""))</f>
        <v>RentalApp</v>
      </c>
      <c r="D216" s="371" t="s">
        <v>3339</v>
      </c>
      <c r="E216" s="4" t="b">
        <v>0</v>
      </c>
      <c r="F216" s="41" t="b">
        <f t="shared" ca="1" si="4"/>
        <v>0</v>
      </c>
      <c r="G216" s="6" t="s">
        <v>3340</v>
      </c>
      <c r="H216" s="11" t="str">
        <f ca="1">IFERROR(VLOOKUP(DB_TBL_DATA_FIELDS[[#This Row],[FIELD_ID]],INDIRECT(DB_TBL_DATA_FIELDS[[#This Row],[SHEET_REF_CALC]]&amp;"!A:B"),2,FALSE),"")</f>
        <v/>
      </c>
      <c r="I216" s="29" t="str">
        <f ca="1">IF(DB_TBL_DATA_FIELDS[[#This Row],[FIELD_EMPTY_FLAG]],"",IF(SPONSOR_CERTIFICATION_INDICATOR=FALSE,FALSE,(LIMITED_PARTNERSHIP_FLAG=TRUE)))</f>
        <v/>
      </c>
      <c r="J216" s="6" t="b">
        <f ca="1">(DB_TBL_DATA_FIELDS[[#This Row],[FIELD_VALUE_RAW]]="")</f>
        <v>1</v>
      </c>
      <c r="K216" s="6" t="s">
        <v>11</v>
      </c>
      <c r="L216" s="8" t="b">
        <f ca="1">AND(IF(DB_TBL_DATA_FIELDS[[#This Row],[FIELD_VALID_CUSTOM_LOGIC]]="",TRUE,DB_TBL_DATA_FIELDS[[#This Row],[FIELD_VALID_CUSTOM_LOGIC]]),DB_TBL_DATA_FIELDS[[#This Row],[RANGE_VALIDATION_PASSED_FLAG]])</f>
        <v>1</v>
      </c>
      <c r="M216"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16" s="8">
        <f ca="1">IF(DB_TBL_DATA_FIELDS[[#This Row],[SHEET_REF_CALC]]="","",IF(DB_TBL_DATA_FIELDS[[#This Row],[FIELD_EMPTY_FLAG]],IF(NOT(DB_TBL_DATA_FIELDS[[#This Row],[FIELD_REQ_FLAG]]),-1,1),IF(NOT(DB_TBL_DATA_FIELDS[[#This Row],[FIELD_VALID_FLAG]]),0,2)))</f>
        <v>-1</v>
      </c>
      <c r="O216" s="8" t="str">
        <f ca="1">IFERROR(VLOOKUP(DB_TBL_DATA_FIELDS[[#This Row],[FIELD_STATUS_CODE]],DB_TBL_CONFIG_FIELDSTATUSCODES[#All],3,FALSE),"")</f>
        <v>Optional</v>
      </c>
      <c r="P216" s="8" t="str">
        <f ca="1">IFERROR(VLOOKUP(DB_TBL_DATA_FIELDS[[#This Row],[FIELD_STATUS_CODE]],DB_TBL_CONFIG_FIELDSTATUSCODES[#All],4,FALSE),"")</f>
        <v xml:space="preserve"> </v>
      </c>
      <c r="Q216" s="8" t="b">
        <f>TRUE</f>
        <v>1</v>
      </c>
      <c r="R216" s="8" t="b">
        <f>TRUE</f>
        <v>1</v>
      </c>
      <c r="S216" s="4" t="s">
        <v>11</v>
      </c>
      <c r="T216" s="8">
        <f ca="1">IF(DB_TBL_DATA_FIELDS[[#This Row],[RANGE_VALIDATION_FLAG]]="Text",LEN(DB_TBL_DATA_FIELDS[[#This Row],[FIELD_VALUE_RAW]]),IFERROR(VALUE(DB_TBL_DATA_FIELDS[[#This Row],[FIELD_VALUE_RAW]]),-1))</f>
        <v>0</v>
      </c>
      <c r="U216" s="8">
        <v>0</v>
      </c>
      <c r="V216" s="8">
        <v>25</v>
      </c>
      <c r="W216" s="8" t="b">
        <f ca="1">IF(NOT(DB_TBL_DATA_FIELDS[[#This Row],[RANGE_VALIDATION_ON_FLAG]]),TRUE,
AND(DB_TBL_DATA_FIELDS[[#This Row],[RANGE_VALUE_LEN]]&gt;=DB_TBL_DATA_FIELDS[[#This Row],[RANGE_VALIDATION_MIN]],DB_TBL_DATA_FIELDS[[#This Row],[RANGE_VALUE_LEN]]&lt;=DB_TBL_DATA_FIELDS[[#This Row],[RANGE_VALIDATION_MAX]]))</f>
        <v>1</v>
      </c>
      <c r="X216" s="8">
        <v>1</v>
      </c>
      <c r="Y216" s="8">
        <f ca="1">IF(DB_TBL_DATA_FIELDS[[#This Row],[PCT_CALC_SHOW_STATUS_CODE]]=1,
DB_TBL_DATA_FIELDS[[#This Row],[FIELD_STATUS_CODE]],
IF(AND(DB_TBL_DATA_FIELDS[[#This Row],[PCT_CALC_SHOW_STATUS_CODE]]=2,DB_TBL_DATA_FIELDS[[#This Row],[FIELD_STATUS_CODE]]=0),
DB_TBL_DATA_FIELDS[[#This Row],[FIELD_STATUS_CODE]],
"")
)</f>
        <v>-1</v>
      </c>
      <c r="Z216" s="8"/>
      <c r="AA216" s="11" t="s">
        <v>3341</v>
      </c>
      <c r="AB216" s="11" t="s">
        <v>2931</v>
      </c>
      <c r="AC216" s="8" t="s">
        <v>3247</v>
      </c>
    </row>
    <row r="217" spans="1:29" x14ac:dyDescent="0.2">
      <c r="A217" s="4"/>
      <c r="B217" s="4" t="s">
        <v>64</v>
      </c>
      <c r="C217" s="8" t="str">
        <f ca="1">IF($H$10&lt;&gt;"R",IF(DB_TBL_DATA_FIELDS[[#This Row],[SHEET_REF_OWNER]]&lt;&gt;"",DB_TBL_DATA_FIELDS[[#This Row],[SHEET_REF_OWNER]],""),IF(DB_TBL_DATA_FIELDS[[#This Row],[SHEET_REF_RENTAL]]&lt;&gt;"",DB_TBL_DATA_FIELDS[[#This Row],[SHEET_REF_RENTAL]],""))</f>
        <v>RentalApp</v>
      </c>
      <c r="D217" s="116" t="s">
        <v>2968</v>
      </c>
      <c r="E217" s="4" t="b">
        <v>0</v>
      </c>
      <c r="F217" s="117" t="b">
        <v>0</v>
      </c>
      <c r="G217" s="116" t="s">
        <v>3008</v>
      </c>
      <c r="H217" s="120"/>
      <c r="I217" s="29" t="str">
        <f>IF(DB_TBL_DATA_FIELDS[[#This Row],[FIELD_EMPTY_FLAG]],"",IF(SPONSOR_CERTIFICATION_INDICATOR=FALSE,FALSE,(LIMITED_PARTNERSHIP_FLAG=TRUE)))</f>
        <v/>
      </c>
      <c r="J217" s="6" t="b">
        <f>(DB_TBL_DATA_FIELDS[[#This Row],[FIELD_VALUE_RAW]]="")</f>
        <v>1</v>
      </c>
      <c r="K217" s="6" t="s">
        <v>62</v>
      </c>
      <c r="L217" s="8" t="b">
        <f>AND(IF(DB_TBL_DATA_FIELDS[[#This Row],[FIELD_VALID_CUSTOM_LOGIC]]="",TRUE,DB_TBL_DATA_FIELDS[[#This Row],[FIELD_VALID_CUSTOM_LOGIC]]),DB_TBL_DATA_FIELDS[[#This Row],[RANGE_VALIDATION_PASSED_FLAG]])</f>
        <v>1</v>
      </c>
      <c r="M217" s="11"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17" s="8">
        <f ca="1">IF(DB_TBL_DATA_FIELDS[[#This Row],[SHEET_REF_CALC]]="","",IF(DB_TBL_DATA_FIELDS[[#This Row],[FIELD_EMPTY_FLAG]],IF(NOT(DB_TBL_DATA_FIELDS[[#This Row],[FIELD_REQ_FLAG]]),-1,1),IF(NOT(DB_TBL_DATA_FIELDS[[#This Row],[FIELD_VALID_FLAG]]),0,2)))</f>
        <v>-1</v>
      </c>
      <c r="O217" s="8" t="str">
        <f ca="1">IFERROR(VLOOKUP(DB_TBL_DATA_FIELDS[[#This Row],[FIELD_STATUS_CODE]],DB_TBL_CONFIG_FIELDSTATUSCODES[#All],3,FALSE),"")</f>
        <v>Optional</v>
      </c>
      <c r="P217" s="8" t="str">
        <f ca="1">IFERROR(VLOOKUP(DB_TBL_DATA_FIELDS[[#This Row],[FIELD_STATUS_CODE]],DB_TBL_CONFIG_FIELDSTATUSCODES[#All],4,FALSE),"")</f>
        <v xml:space="preserve"> </v>
      </c>
      <c r="Q217" s="8" t="b">
        <f>TRUE</f>
        <v>1</v>
      </c>
      <c r="R217" s="8" t="b">
        <f>TRUE</f>
        <v>1</v>
      </c>
      <c r="S217" s="4" t="s">
        <v>62</v>
      </c>
      <c r="T217" s="8">
        <f>IF(DB_TBL_DATA_FIELDS[[#This Row],[RANGE_VALIDATION_FLAG]]="Text",LEN(DB_TBL_DATA_FIELDS[[#This Row],[FIELD_VALUE_RAW]]),IFERROR(VALUE(DB_TBL_DATA_FIELDS[[#This Row],[FIELD_VALUE_RAW]]),-1))</f>
        <v>0</v>
      </c>
      <c r="U217" s="8">
        <v>0</v>
      </c>
      <c r="V217" s="8">
        <v>100</v>
      </c>
      <c r="W217" s="8" t="b">
        <f>IF(NOT(DB_TBL_DATA_FIELDS[[#This Row],[RANGE_VALIDATION_ON_FLAG]]),TRUE,
AND(DB_TBL_DATA_FIELDS[[#This Row],[RANGE_VALUE_LEN]]&gt;=DB_TBL_DATA_FIELDS[[#This Row],[RANGE_VALIDATION_MIN]],DB_TBL_DATA_FIELDS[[#This Row],[RANGE_VALUE_LEN]]&lt;=DB_TBL_DATA_FIELDS[[#This Row],[RANGE_VALIDATION_MAX]]))</f>
        <v>1</v>
      </c>
      <c r="X217" s="8">
        <v>1</v>
      </c>
      <c r="Y217" s="8">
        <f ca="1">IF(DB_TBL_DATA_FIELDS[[#This Row],[PCT_CALC_SHOW_STATUS_CODE]]=1,
DB_TBL_DATA_FIELDS[[#This Row],[FIELD_STATUS_CODE]],
IF(AND(DB_TBL_DATA_FIELDS[[#This Row],[PCT_CALC_SHOW_STATUS_CODE]]=2,DB_TBL_DATA_FIELDS[[#This Row],[FIELD_STATUS_CODE]]=0),
DB_TBL_DATA_FIELDS[[#This Row],[FIELD_STATUS_CODE]],
"")
)</f>
        <v>-1</v>
      </c>
      <c r="Z217" s="8"/>
      <c r="AA217" s="11" t="s">
        <v>2938</v>
      </c>
      <c r="AB217" s="11" t="s">
        <v>2931</v>
      </c>
      <c r="AC217" s="8"/>
    </row>
    <row r="218" spans="1:29" x14ac:dyDescent="0.2">
      <c r="A218" s="4"/>
      <c r="B218" s="4" t="s">
        <v>64</v>
      </c>
      <c r="C218" s="8" t="str">
        <f ca="1">IF($H$10&lt;&gt;"R",IF(DB_TBL_DATA_FIELDS[[#This Row],[SHEET_REF_OWNER]]&lt;&gt;"",DB_TBL_DATA_FIELDS[[#This Row],[SHEET_REF_OWNER]],""),IF(DB_TBL_DATA_FIELDS[[#This Row],[SHEET_REF_RENTAL]]&lt;&gt;"",DB_TBL_DATA_FIELDS[[#This Row],[SHEET_REF_RENTAL]],""))</f>
        <v>RentalApp</v>
      </c>
      <c r="D218" s="371" t="s">
        <v>2969</v>
      </c>
      <c r="E218" s="4" t="b">
        <v>0</v>
      </c>
      <c r="F218" s="41" t="b">
        <f t="shared" ca="1" si="4"/>
        <v>0</v>
      </c>
      <c r="G218" s="6" t="s">
        <v>3009</v>
      </c>
      <c r="H218" s="11" t="str">
        <f ca="1">IFERROR(VLOOKUP(DB_TBL_DATA_FIELDS[[#This Row],[FIELD_ID]],INDIRECT(DB_TBL_DATA_FIELDS[[#This Row],[SHEET_REF_CALC]]&amp;"!A:B"),2,FALSE),"")</f>
        <v/>
      </c>
      <c r="I218" s="29" t="str">
        <f ca="1">IF(DB_TBL_DATA_FIELDS[[#This Row],[FIELD_EMPTY_FLAG]],"",IF(SPONSOR_CERTIFICATION_INDICATOR=FALSE,FALSE,(LIMITED_PARTNERSHIP_FLAG=TRUE)))</f>
        <v/>
      </c>
      <c r="J218" s="6" t="b">
        <f ca="1">(DB_TBL_DATA_FIELDS[[#This Row],[FIELD_VALUE_RAW]]="")</f>
        <v>1</v>
      </c>
      <c r="K218" s="6" t="s">
        <v>62</v>
      </c>
      <c r="L218" s="8" t="b">
        <f ca="1">AND(IF(DB_TBL_DATA_FIELDS[[#This Row],[FIELD_VALID_CUSTOM_LOGIC]]="",TRUE,DB_TBL_DATA_FIELDS[[#This Row],[FIELD_VALID_CUSTOM_LOGIC]]),DB_TBL_DATA_FIELDS[[#This Row],[RANGE_VALIDATION_PASSED_FLAG]])</f>
        <v>0</v>
      </c>
      <c r="M218"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18" s="8">
        <f ca="1">IF(DB_TBL_DATA_FIELDS[[#This Row],[SHEET_REF_CALC]]="","",IF(DB_TBL_DATA_FIELDS[[#This Row],[FIELD_EMPTY_FLAG]],IF(NOT(DB_TBL_DATA_FIELDS[[#This Row],[FIELD_REQ_FLAG]]),-1,1),IF(NOT(DB_TBL_DATA_FIELDS[[#This Row],[FIELD_VALID_FLAG]]),0,2)))</f>
        <v>-1</v>
      </c>
      <c r="O218" s="8" t="str">
        <f ca="1">IFERROR(VLOOKUP(DB_TBL_DATA_FIELDS[[#This Row],[FIELD_STATUS_CODE]],DB_TBL_CONFIG_FIELDSTATUSCODES[#All],3,FALSE),"")</f>
        <v>Optional</v>
      </c>
      <c r="P218" s="8" t="str">
        <f ca="1">IFERROR(VLOOKUP(DB_TBL_DATA_FIELDS[[#This Row],[FIELD_STATUS_CODE]],DB_TBL_CONFIG_FIELDSTATUSCODES[#All],4,FALSE),"")</f>
        <v xml:space="preserve"> </v>
      </c>
      <c r="Q218" s="8" t="b">
        <f>TRUE</f>
        <v>1</v>
      </c>
      <c r="R218" s="8" t="b">
        <f>TRUE</f>
        <v>1</v>
      </c>
      <c r="S218" s="4" t="s">
        <v>62</v>
      </c>
      <c r="T218" s="8">
        <f ca="1">IF(DB_TBL_DATA_FIELDS[[#This Row],[RANGE_VALIDATION_FLAG]]="Text",LEN(DB_TBL_DATA_FIELDS[[#This Row],[FIELD_VALUE_RAW]]),IFERROR(VALUE(DB_TBL_DATA_FIELDS[[#This Row],[FIELD_VALUE_RAW]]),-1))</f>
        <v>-1</v>
      </c>
      <c r="U218" s="8">
        <v>0</v>
      </c>
      <c r="V218" s="8">
        <v>100</v>
      </c>
      <c r="W218" s="8" t="b">
        <f ca="1">IF(NOT(DB_TBL_DATA_FIELDS[[#This Row],[RANGE_VALIDATION_ON_FLAG]]),TRUE,
AND(DB_TBL_DATA_FIELDS[[#This Row],[RANGE_VALUE_LEN]]&gt;=DB_TBL_DATA_FIELDS[[#This Row],[RANGE_VALIDATION_MIN]],DB_TBL_DATA_FIELDS[[#This Row],[RANGE_VALUE_LEN]]&lt;=DB_TBL_DATA_FIELDS[[#This Row],[RANGE_VALIDATION_MAX]]))</f>
        <v>0</v>
      </c>
      <c r="X218" s="8">
        <v>1</v>
      </c>
      <c r="Y218" s="8">
        <f ca="1">IF(DB_TBL_DATA_FIELDS[[#This Row],[PCT_CALC_SHOW_STATUS_CODE]]=1,
DB_TBL_DATA_FIELDS[[#This Row],[FIELD_STATUS_CODE]],
IF(AND(DB_TBL_DATA_FIELDS[[#This Row],[PCT_CALC_SHOW_STATUS_CODE]]=2,DB_TBL_DATA_FIELDS[[#This Row],[FIELD_STATUS_CODE]]=0),
DB_TBL_DATA_FIELDS[[#This Row],[FIELD_STATUS_CODE]],
"")
)</f>
        <v>-1</v>
      </c>
      <c r="Z218" s="8"/>
      <c r="AA218" s="11" t="s">
        <v>2939</v>
      </c>
      <c r="AB218" s="11" t="s">
        <v>2931</v>
      </c>
      <c r="AC218" s="8"/>
    </row>
    <row r="219" spans="1:29" x14ac:dyDescent="0.2">
      <c r="A219" s="4"/>
      <c r="B219" s="4" t="s">
        <v>64</v>
      </c>
      <c r="C219" s="8" t="str">
        <f ca="1">IF($H$10&lt;&gt;"R",IF(DB_TBL_DATA_FIELDS[[#This Row],[SHEET_REF_OWNER]]&lt;&gt;"",DB_TBL_DATA_FIELDS[[#This Row],[SHEET_REF_OWNER]],""),IF(DB_TBL_DATA_FIELDS[[#This Row],[SHEET_REF_RENTAL]]&lt;&gt;"",DB_TBL_DATA_FIELDS[[#This Row],[SHEET_REF_RENTAL]],""))</f>
        <v>RentalApp</v>
      </c>
      <c r="D219" s="371" t="s">
        <v>2970</v>
      </c>
      <c r="E219" s="4" t="b">
        <v>0</v>
      </c>
      <c r="F219" s="41" t="b">
        <f ca="1">IF(SPONSOR_CERTIFICATION_INDICATOR=FALSE,FALSE,FALSE)</f>
        <v>0</v>
      </c>
      <c r="G219" s="6" t="s">
        <v>3004</v>
      </c>
      <c r="H219" s="11" t="str">
        <f ca="1">IFERROR(VLOOKUP(DB_TBL_DATA_FIELDS[[#This Row],[FIELD_ID]],INDIRECT(DB_TBL_DATA_FIELDS[[#This Row],[SHEET_REF_CALC]]&amp;"!A:B"),2,FALSE),"")</f>
        <v/>
      </c>
      <c r="I219" s="29" t="str">
        <f ca="1">IF(DB_TBL_DATA_FIELDS[[#This Row],[FIELD_EMPTY_FLAG]],"",IF(SPONSOR_CERTIFICATION_INDICATOR=FALSE,FALSE,(LIMITED_PARTNERSHIP_FLAG=TRUE)))</f>
        <v/>
      </c>
      <c r="J219" s="6" t="b">
        <f ca="1">(DB_TBL_DATA_FIELDS[[#This Row],[FIELD_VALUE_RAW]]="")</f>
        <v>1</v>
      </c>
      <c r="K219" s="6" t="s">
        <v>11</v>
      </c>
      <c r="L219" s="8" t="b">
        <f ca="1">AND(IF(DB_TBL_DATA_FIELDS[[#This Row],[FIELD_VALID_CUSTOM_LOGIC]]="",TRUE,DB_TBL_DATA_FIELDS[[#This Row],[FIELD_VALID_CUSTOM_LOGIC]]),DB_TBL_DATA_FIELDS[[#This Row],[RANGE_VALIDATION_PASSED_FLAG]])</f>
        <v>1</v>
      </c>
      <c r="M219"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19" s="8">
        <f ca="1">IF(DB_TBL_DATA_FIELDS[[#This Row],[SHEET_REF_CALC]]="","",IF(DB_TBL_DATA_FIELDS[[#This Row],[FIELD_EMPTY_FLAG]],IF(NOT(DB_TBL_DATA_FIELDS[[#This Row],[FIELD_REQ_FLAG]]),-1,1),IF(NOT(DB_TBL_DATA_FIELDS[[#This Row],[FIELD_VALID_FLAG]]),0,2)))</f>
        <v>-1</v>
      </c>
      <c r="O219" s="8" t="str">
        <f ca="1">IFERROR(VLOOKUP(DB_TBL_DATA_FIELDS[[#This Row],[FIELD_STATUS_CODE]],DB_TBL_CONFIG_FIELDSTATUSCODES[#All],3,FALSE),"")</f>
        <v>Optional</v>
      </c>
      <c r="P219" s="8" t="str">
        <f ca="1">IFERROR(VLOOKUP(DB_TBL_DATA_FIELDS[[#This Row],[FIELD_STATUS_CODE]],DB_TBL_CONFIG_FIELDSTATUSCODES[#All],4,FALSE),"")</f>
        <v xml:space="preserve"> </v>
      </c>
      <c r="Q219" s="8" t="b">
        <f>TRUE</f>
        <v>1</v>
      </c>
      <c r="R219" s="8" t="b">
        <f>TRUE</f>
        <v>1</v>
      </c>
      <c r="S219" s="4" t="s">
        <v>11</v>
      </c>
      <c r="T219" s="8">
        <f ca="1">IF(DB_TBL_DATA_FIELDS[[#This Row],[RANGE_VALIDATION_FLAG]]="Text",LEN(DB_TBL_DATA_FIELDS[[#This Row],[FIELD_VALUE_RAW]]),IFERROR(VALUE(DB_TBL_DATA_FIELDS[[#This Row],[FIELD_VALUE_RAW]]),-1))</f>
        <v>0</v>
      </c>
      <c r="U219" s="8">
        <v>0</v>
      </c>
      <c r="V219" s="8">
        <v>150</v>
      </c>
      <c r="W219" s="8" t="b">
        <f ca="1">IF(NOT(DB_TBL_DATA_FIELDS[[#This Row],[RANGE_VALIDATION_ON_FLAG]]),TRUE,
AND(DB_TBL_DATA_FIELDS[[#This Row],[RANGE_VALUE_LEN]]&gt;=DB_TBL_DATA_FIELDS[[#This Row],[RANGE_VALIDATION_MIN]],DB_TBL_DATA_FIELDS[[#This Row],[RANGE_VALUE_LEN]]&lt;=DB_TBL_DATA_FIELDS[[#This Row],[RANGE_VALIDATION_MAX]]))</f>
        <v>1</v>
      </c>
      <c r="X219" s="8">
        <v>1</v>
      </c>
      <c r="Y219" s="8">
        <f ca="1">IF(DB_TBL_DATA_FIELDS[[#This Row],[PCT_CALC_SHOW_STATUS_CODE]]=1,
DB_TBL_DATA_FIELDS[[#This Row],[FIELD_STATUS_CODE]],
IF(AND(DB_TBL_DATA_FIELDS[[#This Row],[PCT_CALC_SHOW_STATUS_CODE]]=2,DB_TBL_DATA_FIELDS[[#This Row],[FIELD_STATUS_CODE]]=0),
DB_TBL_DATA_FIELDS[[#This Row],[FIELD_STATUS_CODE]],
"")
)</f>
        <v>-1</v>
      </c>
      <c r="Z219" s="8"/>
      <c r="AA219" s="11" t="s">
        <v>2940</v>
      </c>
      <c r="AB219" s="11" t="s">
        <v>2931</v>
      </c>
      <c r="AC219" s="8"/>
    </row>
    <row r="220" spans="1:29" x14ac:dyDescent="0.2">
      <c r="A220" s="4"/>
      <c r="B220" s="4" t="s">
        <v>64</v>
      </c>
      <c r="C220" s="8" t="str">
        <f ca="1">IF($H$10&lt;&gt;"R",IF(DB_TBL_DATA_FIELDS[[#This Row],[SHEET_REF_OWNER]]&lt;&gt;"",DB_TBL_DATA_FIELDS[[#This Row],[SHEET_REF_OWNER]],""),IF(DB_TBL_DATA_FIELDS[[#This Row],[SHEET_REF_RENTAL]]&lt;&gt;"",DB_TBL_DATA_FIELDS[[#This Row],[SHEET_REF_RENTAL]],""))</f>
        <v>RentalApp</v>
      </c>
      <c r="D220" s="371" t="s">
        <v>2971</v>
      </c>
      <c r="E220" s="4" t="b">
        <v>0</v>
      </c>
      <c r="F220" s="41" t="b">
        <f ca="1">IF(SPONSOR_CERTIFICATION_INDICATOR=FALSE,FALSE,AND(NOT($J$219),LIMITED_PARTNERSHIP_FLAG=TRUE))</f>
        <v>0</v>
      </c>
      <c r="G220" s="6" t="s">
        <v>3005</v>
      </c>
      <c r="H220" s="11" t="str">
        <f ca="1">IFERROR(VLOOKUP(DB_TBL_DATA_FIELDS[[#This Row],[FIELD_ID]],INDIRECT(DB_TBL_DATA_FIELDS[[#This Row],[SHEET_REF_CALC]]&amp;"!A:B"),2,FALSE),"")</f>
        <v/>
      </c>
      <c r="I220" s="29" t="str">
        <f ca="1">IF(DB_TBL_DATA_FIELDS[[#This Row],[FIELD_EMPTY_FLAG]],"",IF(SPONSOR_CERTIFICATION_INDICATOR=FALSE,FALSE,AND(NOT($J$219),LIMITED_PARTNERSHIP_FLAG=TRUE)))</f>
        <v/>
      </c>
      <c r="J220" s="6" t="b">
        <f ca="1">(DB_TBL_DATA_FIELDS[[#This Row],[FIELD_VALUE_RAW]]="")</f>
        <v>1</v>
      </c>
      <c r="K220" s="6" t="s">
        <v>11</v>
      </c>
      <c r="L220" s="8" t="b">
        <f ca="1">AND(IF(DB_TBL_DATA_FIELDS[[#This Row],[FIELD_VALID_CUSTOM_LOGIC]]="",TRUE,DB_TBL_DATA_FIELDS[[#This Row],[FIELD_VALID_CUSTOM_LOGIC]]),DB_TBL_DATA_FIELDS[[#This Row],[RANGE_VALIDATION_PASSED_FLAG]])</f>
        <v>1</v>
      </c>
      <c r="M220"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20" s="8">
        <f ca="1">IF(DB_TBL_DATA_FIELDS[[#This Row],[SHEET_REF_CALC]]="","",IF(DB_TBL_DATA_FIELDS[[#This Row],[FIELD_EMPTY_FLAG]],IF(NOT(DB_TBL_DATA_FIELDS[[#This Row],[FIELD_REQ_FLAG]]),-1,1),IF(NOT(DB_TBL_DATA_FIELDS[[#This Row],[FIELD_VALID_FLAG]]),0,2)))</f>
        <v>-1</v>
      </c>
      <c r="O220" s="8" t="str">
        <f ca="1">IFERROR(VLOOKUP(DB_TBL_DATA_FIELDS[[#This Row],[FIELD_STATUS_CODE]],DB_TBL_CONFIG_FIELDSTATUSCODES[#All],3,FALSE),"")</f>
        <v>Optional</v>
      </c>
      <c r="P220" s="8" t="str">
        <f ca="1">IFERROR(VLOOKUP(DB_TBL_DATA_FIELDS[[#This Row],[FIELD_STATUS_CODE]],DB_TBL_CONFIG_FIELDSTATUSCODES[#All],4,FALSE),"")</f>
        <v xml:space="preserve"> </v>
      </c>
      <c r="Q220" s="8" t="b">
        <f>TRUE</f>
        <v>1</v>
      </c>
      <c r="R220" s="8" t="b">
        <f>TRUE</f>
        <v>1</v>
      </c>
      <c r="S220" s="4" t="s">
        <v>11</v>
      </c>
      <c r="T220" s="8">
        <f ca="1">IF(DB_TBL_DATA_FIELDS[[#This Row],[RANGE_VALIDATION_FLAG]]="Text",LEN(DB_TBL_DATA_FIELDS[[#This Row],[FIELD_VALUE_RAW]]),IFERROR(VALUE(DB_TBL_DATA_FIELDS[[#This Row],[FIELD_VALUE_RAW]]),-1))</f>
        <v>0</v>
      </c>
      <c r="U220" s="8">
        <v>0</v>
      </c>
      <c r="V220" s="8">
        <v>25</v>
      </c>
      <c r="W220" s="8" t="b">
        <f ca="1">IF(NOT(DB_TBL_DATA_FIELDS[[#This Row],[RANGE_VALIDATION_ON_FLAG]]),TRUE,
AND(DB_TBL_DATA_FIELDS[[#This Row],[RANGE_VALUE_LEN]]&gt;=DB_TBL_DATA_FIELDS[[#This Row],[RANGE_VALIDATION_MIN]],DB_TBL_DATA_FIELDS[[#This Row],[RANGE_VALUE_LEN]]&lt;=DB_TBL_DATA_FIELDS[[#This Row],[RANGE_VALIDATION_MAX]]))</f>
        <v>1</v>
      </c>
      <c r="X220" s="8">
        <v>1</v>
      </c>
      <c r="Y220" s="8">
        <f ca="1">IF(DB_TBL_DATA_FIELDS[[#This Row],[PCT_CALC_SHOW_STATUS_CODE]]=1,
DB_TBL_DATA_FIELDS[[#This Row],[FIELD_STATUS_CODE]],
IF(AND(DB_TBL_DATA_FIELDS[[#This Row],[PCT_CALC_SHOW_STATUS_CODE]]=2,DB_TBL_DATA_FIELDS[[#This Row],[FIELD_STATUS_CODE]]=0),
DB_TBL_DATA_FIELDS[[#This Row],[FIELD_STATUS_CODE]],
"")
)</f>
        <v>-1</v>
      </c>
      <c r="Z220" s="8"/>
      <c r="AA220" s="11" t="s">
        <v>2941</v>
      </c>
      <c r="AB220" s="11" t="s">
        <v>2931</v>
      </c>
      <c r="AC220" s="8"/>
    </row>
    <row r="221" spans="1:29" x14ac:dyDescent="0.2">
      <c r="A221" s="4"/>
      <c r="B221" s="4" t="s">
        <v>64</v>
      </c>
      <c r="C221" s="8" t="str">
        <f ca="1">IF($H$10&lt;&gt;"R",IF(DB_TBL_DATA_FIELDS[[#This Row],[SHEET_REF_OWNER]]&lt;&gt;"",DB_TBL_DATA_FIELDS[[#This Row],[SHEET_REF_OWNER]],""),IF(DB_TBL_DATA_FIELDS[[#This Row],[SHEET_REF_RENTAL]]&lt;&gt;"",DB_TBL_DATA_FIELDS[[#This Row],[SHEET_REF_RENTAL]],""))</f>
        <v>RentalApp</v>
      </c>
      <c r="D221" s="116" t="s">
        <v>2972</v>
      </c>
      <c r="E221" s="4" t="b">
        <v>0</v>
      </c>
      <c r="F221" s="117" t="b">
        <v>0</v>
      </c>
      <c r="G221" s="116" t="s">
        <v>3006</v>
      </c>
      <c r="H221" s="120"/>
      <c r="I221" s="29" t="str">
        <f>IF(DB_TBL_DATA_FIELDS[[#This Row],[FIELD_EMPTY_FLAG]],"",IF(SPONSOR_CERTIFICATION_INDICATOR=FALSE,FALSE,AND(NOT($J$219),LIMITED_PARTNERSHIP_FLAG=TRUE)))</f>
        <v/>
      </c>
      <c r="J221" s="6" t="b">
        <f>(DB_TBL_DATA_FIELDS[[#This Row],[FIELD_VALUE_RAW]]="")</f>
        <v>1</v>
      </c>
      <c r="K221" s="6" t="s">
        <v>62</v>
      </c>
      <c r="L221" s="8" t="b">
        <f>AND(IF(DB_TBL_DATA_FIELDS[[#This Row],[FIELD_VALID_CUSTOM_LOGIC]]="",TRUE,DB_TBL_DATA_FIELDS[[#This Row],[FIELD_VALID_CUSTOM_LOGIC]]),DB_TBL_DATA_FIELDS[[#This Row],[RANGE_VALIDATION_PASSED_FLAG]])</f>
        <v>1</v>
      </c>
      <c r="M221" s="11"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21" s="8">
        <f ca="1">IF(DB_TBL_DATA_FIELDS[[#This Row],[SHEET_REF_CALC]]="","",IF(DB_TBL_DATA_FIELDS[[#This Row],[FIELD_EMPTY_FLAG]],IF(NOT(DB_TBL_DATA_FIELDS[[#This Row],[FIELD_REQ_FLAG]]),-1,1),IF(NOT(DB_TBL_DATA_FIELDS[[#This Row],[FIELD_VALID_FLAG]]),0,2)))</f>
        <v>-1</v>
      </c>
      <c r="O221" s="8" t="str">
        <f ca="1">IFERROR(VLOOKUP(DB_TBL_DATA_FIELDS[[#This Row],[FIELD_STATUS_CODE]],DB_TBL_CONFIG_FIELDSTATUSCODES[#All],3,FALSE),"")</f>
        <v>Optional</v>
      </c>
      <c r="P221" s="8" t="str">
        <f ca="1">IFERROR(VLOOKUP(DB_TBL_DATA_FIELDS[[#This Row],[FIELD_STATUS_CODE]],DB_TBL_CONFIG_FIELDSTATUSCODES[#All],4,FALSE),"")</f>
        <v xml:space="preserve"> </v>
      </c>
      <c r="Q221" s="8" t="b">
        <f>TRUE</f>
        <v>1</v>
      </c>
      <c r="R221" s="8" t="b">
        <f>TRUE</f>
        <v>1</v>
      </c>
      <c r="S221" s="4" t="s">
        <v>62</v>
      </c>
      <c r="T221" s="8">
        <f>IF(DB_TBL_DATA_FIELDS[[#This Row],[RANGE_VALIDATION_FLAG]]="Text",LEN(DB_TBL_DATA_FIELDS[[#This Row],[FIELD_VALUE_RAW]]),IFERROR(VALUE(DB_TBL_DATA_FIELDS[[#This Row],[FIELD_VALUE_RAW]]),-1))</f>
        <v>0</v>
      </c>
      <c r="U221" s="8">
        <v>0</v>
      </c>
      <c r="V221" s="8">
        <v>100</v>
      </c>
      <c r="W221" s="8" t="b">
        <f>IF(NOT(DB_TBL_DATA_FIELDS[[#This Row],[RANGE_VALIDATION_ON_FLAG]]),TRUE,
AND(DB_TBL_DATA_FIELDS[[#This Row],[RANGE_VALUE_LEN]]&gt;=DB_TBL_DATA_FIELDS[[#This Row],[RANGE_VALIDATION_MIN]],DB_TBL_DATA_FIELDS[[#This Row],[RANGE_VALUE_LEN]]&lt;=DB_TBL_DATA_FIELDS[[#This Row],[RANGE_VALIDATION_MAX]]))</f>
        <v>1</v>
      </c>
      <c r="X221" s="8">
        <v>1</v>
      </c>
      <c r="Y221" s="8">
        <f ca="1">IF(DB_TBL_DATA_FIELDS[[#This Row],[PCT_CALC_SHOW_STATUS_CODE]]=1,
DB_TBL_DATA_FIELDS[[#This Row],[FIELD_STATUS_CODE]],
IF(AND(DB_TBL_DATA_FIELDS[[#This Row],[PCT_CALC_SHOW_STATUS_CODE]]=2,DB_TBL_DATA_FIELDS[[#This Row],[FIELD_STATUS_CODE]]=0),
DB_TBL_DATA_FIELDS[[#This Row],[FIELD_STATUS_CODE]],
"")
)</f>
        <v>-1</v>
      </c>
      <c r="Z221" s="8"/>
      <c r="AA221" s="11" t="s">
        <v>2942</v>
      </c>
      <c r="AB221" s="11" t="s">
        <v>2931</v>
      </c>
      <c r="AC221" s="8"/>
    </row>
    <row r="222" spans="1:29" x14ac:dyDescent="0.2">
      <c r="A222" s="4"/>
      <c r="B222" s="4" t="s">
        <v>64</v>
      </c>
      <c r="C222" s="8" t="str">
        <f ca="1">IF($H$10&lt;&gt;"R",IF(DB_TBL_DATA_FIELDS[[#This Row],[SHEET_REF_OWNER]]&lt;&gt;"",DB_TBL_DATA_FIELDS[[#This Row],[SHEET_REF_OWNER]],""),IF(DB_TBL_DATA_FIELDS[[#This Row],[SHEET_REF_RENTAL]]&lt;&gt;"",DB_TBL_DATA_FIELDS[[#This Row],[SHEET_REF_RENTAL]],""))</f>
        <v>RentalApp</v>
      </c>
      <c r="D222" s="371" t="s">
        <v>2973</v>
      </c>
      <c r="E222" s="4" t="b">
        <v>0</v>
      </c>
      <c r="F222" s="41" t="b">
        <f ca="1">IF(SPONSOR_CERTIFICATION_INDICATOR=FALSE,FALSE,AND(NOT($J$219),LIMITED_PARTNERSHIP_FLAG=TRUE))</f>
        <v>0</v>
      </c>
      <c r="G222" s="6" t="s">
        <v>3007</v>
      </c>
      <c r="H222" s="11" t="str">
        <f ca="1">IFERROR(VLOOKUP(DB_TBL_DATA_FIELDS[[#This Row],[FIELD_ID]],INDIRECT(DB_TBL_DATA_FIELDS[[#This Row],[SHEET_REF_CALC]]&amp;"!A:B"),2,FALSE),"")</f>
        <v/>
      </c>
      <c r="I222" s="29" t="str">
        <f ca="1">IF(DB_TBL_DATA_FIELDS[[#This Row],[FIELD_EMPTY_FLAG]],"",IF(SPONSOR_CERTIFICATION_INDICATOR=FALSE,FALSE,AND(NOT($J$219),LIMITED_PARTNERSHIP_FLAG=TRUE)))</f>
        <v/>
      </c>
      <c r="J222" s="6" t="b">
        <f ca="1">(DB_TBL_DATA_FIELDS[[#This Row],[FIELD_VALUE_RAW]]="")</f>
        <v>1</v>
      </c>
      <c r="K222" s="6" t="s">
        <v>62</v>
      </c>
      <c r="L222" s="8" t="b">
        <f ca="1">AND(IF(DB_TBL_DATA_FIELDS[[#This Row],[FIELD_VALID_CUSTOM_LOGIC]]="",TRUE,DB_TBL_DATA_FIELDS[[#This Row],[FIELD_VALID_CUSTOM_LOGIC]]),DB_TBL_DATA_FIELDS[[#This Row],[RANGE_VALIDATION_PASSED_FLAG]])</f>
        <v>0</v>
      </c>
      <c r="M222"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22" s="8">
        <f ca="1">IF(DB_TBL_DATA_FIELDS[[#This Row],[SHEET_REF_CALC]]="","",IF(DB_TBL_DATA_FIELDS[[#This Row],[FIELD_EMPTY_FLAG]],IF(NOT(DB_TBL_DATA_FIELDS[[#This Row],[FIELD_REQ_FLAG]]),-1,1),IF(NOT(DB_TBL_DATA_FIELDS[[#This Row],[FIELD_VALID_FLAG]]),0,2)))</f>
        <v>-1</v>
      </c>
      <c r="O222" s="8" t="str">
        <f ca="1">IFERROR(VLOOKUP(DB_TBL_DATA_FIELDS[[#This Row],[FIELD_STATUS_CODE]],DB_TBL_CONFIG_FIELDSTATUSCODES[#All],3,FALSE),"")</f>
        <v>Optional</v>
      </c>
      <c r="P222" s="8" t="str">
        <f ca="1">IFERROR(VLOOKUP(DB_TBL_DATA_FIELDS[[#This Row],[FIELD_STATUS_CODE]],DB_TBL_CONFIG_FIELDSTATUSCODES[#All],4,FALSE),"")</f>
        <v xml:space="preserve"> </v>
      </c>
      <c r="Q222" s="8" t="b">
        <f>TRUE</f>
        <v>1</v>
      </c>
      <c r="R222" s="8" t="b">
        <f>TRUE</f>
        <v>1</v>
      </c>
      <c r="S222" s="4" t="s">
        <v>62</v>
      </c>
      <c r="T222" s="8">
        <f ca="1">IF(DB_TBL_DATA_FIELDS[[#This Row],[RANGE_VALIDATION_FLAG]]="Text",LEN(DB_TBL_DATA_FIELDS[[#This Row],[FIELD_VALUE_RAW]]),IFERROR(VALUE(DB_TBL_DATA_FIELDS[[#This Row],[FIELD_VALUE_RAW]]),-1))</f>
        <v>-1</v>
      </c>
      <c r="U222" s="8">
        <v>0</v>
      </c>
      <c r="V222" s="8">
        <v>100</v>
      </c>
      <c r="W222" s="8" t="b">
        <f ca="1">IF(NOT(DB_TBL_DATA_FIELDS[[#This Row],[RANGE_VALIDATION_ON_FLAG]]),TRUE,
AND(DB_TBL_DATA_FIELDS[[#This Row],[RANGE_VALUE_LEN]]&gt;=DB_TBL_DATA_FIELDS[[#This Row],[RANGE_VALIDATION_MIN]],DB_TBL_DATA_FIELDS[[#This Row],[RANGE_VALUE_LEN]]&lt;=DB_TBL_DATA_FIELDS[[#This Row],[RANGE_VALIDATION_MAX]]))</f>
        <v>0</v>
      </c>
      <c r="X222" s="8">
        <v>1</v>
      </c>
      <c r="Y222" s="8">
        <f ca="1">IF(DB_TBL_DATA_FIELDS[[#This Row],[PCT_CALC_SHOW_STATUS_CODE]]=1,
DB_TBL_DATA_FIELDS[[#This Row],[FIELD_STATUS_CODE]],
IF(AND(DB_TBL_DATA_FIELDS[[#This Row],[PCT_CALC_SHOW_STATUS_CODE]]=2,DB_TBL_DATA_FIELDS[[#This Row],[FIELD_STATUS_CODE]]=0),
DB_TBL_DATA_FIELDS[[#This Row],[FIELD_STATUS_CODE]],
"")
)</f>
        <v>-1</v>
      </c>
      <c r="Z222" s="8"/>
      <c r="AA222" s="11" t="s">
        <v>2943</v>
      </c>
      <c r="AB222" s="11" t="s">
        <v>2931</v>
      </c>
      <c r="AC222" s="8"/>
    </row>
    <row r="223" spans="1:29" x14ac:dyDescent="0.2">
      <c r="A223" s="4"/>
      <c r="B223" s="4" t="s">
        <v>64</v>
      </c>
      <c r="C223" s="8" t="str">
        <f ca="1">IF($H$10&lt;&gt;"R",IF(DB_TBL_DATA_FIELDS[[#This Row],[SHEET_REF_OWNER]]&lt;&gt;"",DB_TBL_DATA_FIELDS[[#This Row],[SHEET_REF_OWNER]],""),IF(DB_TBL_DATA_FIELDS[[#This Row],[SHEET_REF_RENTAL]]&lt;&gt;"",DB_TBL_DATA_FIELDS[[#This Row],[SHEET_REF_RENTAL]],""))</f>
        <v>RentalApp</v>
      </c>
      <c r="D223" s="371" t="s">
        <v>2974</v>
      </c>
      <c r="E223" s="4" t="b">
        <v>0</v>
      </c>
      <c r="F223" s="41" t="b">
        <f ca="1">IF(SPONSOR_CERTIFICATION_INDICATOR=FALSE,FALSE,FALSE)</f>
        <v>0</v>
      </c>
      <c r="G223" s="6" t="s">
        <v>3002</v>
      </c>
      <c r="H223" s="11" t="str">
        <f ca="1">IFERROR(VLOOKUP(DB_TBL_DATA_FIELDS[[#This Row],[FIELD_ID]],INDIRECT(DB_TBL_DATA_FIELDS[[#This Row],[SHEET_REF_CALC]]&amp;"!A:B"),2,FALSE),"")</f>
        <v/>
      </c>
      <c r="I223" s="29" t="str">
        <f ca="1">IF(DB_TBL_DATA_FIELDS[[#This Row],[FIELD_EMPTY_FLAG]],"",IF(SPONSOR_CERTIFICATION_INDICATOR=FALSE,FALSE,(LIMITED_PARTNERSHIP_FLAG=TRUE)))</f>
        <v/>
      </c>
      <c r="J223" s="6" t="b">
        <f ca="1">(DB_TBL_DATA_FIELDS[[#This Row],[FIELD_VALUE_RAW]]="")</f>
        <v>1</v>
      </c>
      <c r="K223" s="6" t="s">
        <v>11</v>
      </c>
      <c r="L223" s="8" t="b">
        <f ca="1">AND(IF(DB_TBL_DATA_FIELDS[[#This Row],[FIELD_VALID_CUSTOM_LOGIC]]="",TRUE,DB_TBL_DATA_FIELDS[[#This Row],[FIELD_VALID_CUSTOM_LOGIC]]),DB_TBL_DATA_FIELDS[[#This Row],[RANGE_VALIDATION_PASSED_FLAG]])</f>
        <v>1</v>
      </c>
      <c r="M223"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23" s="8">
        <f ca="1">IF(DB_TBL_DATA_FIELDS[[#This Row],[SHEET_REF_CALC]]="","",IF(DB_TBL_DATA_FIELDS[[#This Row],[FIELD_EMPTY_FLAG]],IF(NOT(DB_TBL_DATA_FIELDS[[#This Row],[FIELD_REQ_FLAG]]),-1,1),IF(NOT(DB_TBL_DATA_FIELDS[[#This Row],[FIELD_VALID_FLAG]]),0,2)))</f>
        <v>-1</v>
      </c>
      <c r="O223" s="8" t="str">
        <f ca="1">IFERROR(VLOOKUP(DB_TBL_DATA_FIELDS[[#This Row],[FIELD_STATUS_CODE]],DB_TBL_CONFIG_FIELDSTATUSCODES[#All],3,FALSE),"")</f>
        <v>Optional</v>
      </c>
      <c r="P223" s="8" t="str">
        <f ca="1">IFERROR(VLOOKUP(DB_TBL_DATA_FIELDS[[#This Row],[FIELD_STATUS_CODE]],DB_TBL_CONFIG_FIELDSTATUSCODES[#All],4,FALSE),"")</f>
        <v xml:space="preserve"> </v>
      </c>
      <c r="Q223" s="8" t="b">
        <f>TRUE</f>
        <v>1</v>
      </c>
      <c r="R223" s="8" t="b">
        <f>TRUE</f>
        <v>1</v>
      </c>
      <c r="S223" s="4" t="s">
        <v>11</v>
      </c>
      <c r="T223" s="8">
        <f ca="1">IF(DB_TBL_DATA_FIELDS[[#This Row],[RANGE_VALIDATION_FLAG]]="Text",LEN(DB_TBL_DATA_FIELDS[[#This Row],[FIELD_VALUE_RAW]]),IFERROR(VALUE(DB_TBL_DATA_FIELDS[[#This Row],[FIELD_VALUE_RAW]]),-1))</f>
        <v>0</v>
      </c>
      <c r="U223" s="8">
        <v>0</v>
      </c>
      <c r="V223" s="8">
        <v>150</v>
      </c>
      <c r="W223" s="8" t="b">
        <f ca="1">IF(NOT(DB_TBL_DATA_FIELDS[[#This Row],[RANGE_VALIDATION_ON_FLAG]]),TRUE,
AND(DB_TBL_DATA_FIELDS[[#This Row],[RANGE_VALUE_LEN]]&gt;=DB_TBL_DATA_FIELDS[[#This Row],[RANGE_VALIDATION_MIN]],DB_TBL_DATA_FIELDS[[#This Row],[RANGE_VALUE_LEN]]&lt;=DB_TBL_DATA_FIELDS[[#This Row],[RANGE_VALIDATION_MAX]]))</f>
        <v>1</v>
      </c>
      <c r="X223" s="8">
        <v>1</v>
      </c>
      <c r="Y223" s="8">
        <f ca="1">IF(DB_TBL_DATA_FIELDS[[#This Row],[PCT_CALC_SHOW_STATUS_CODE]]=1,
DB_TBL_DATA_FIELDS[[#This Row],[FIELD_STATUS_CODE]],
IF(AND(DB_TBL_DATA_FIELDS[[#This Row],[PCT_CALC_SHOW_STATUS_CODE]]=2,DB_TBL_DATA_FIELDS[[#This Row],[FIELD_STATUS_CODE]]=0),
DB_TBL_DATA_FIELDS[[#This Row],[FIELD_STATUS_CODE]],
"")
)</f>
        <v>-1</v>
      </c>
      <c r="Z223" s="8"/>
      <c r="AA223" s="11" t="s">
        <v>2944</v>
      </c>
      <c r="AB223" s="11" t="s">
        <v>2931</v>
      </c>
      <c r="AC223" s="8"/>
    </row>
    <row r="224" spans="1:29" x14ac:dyDescent="0.2">
      <c r="A224" s="4"/>
      <c r="B224" s="4" t="s">
        <v>64</v>
      </c>
      <c r="C224" s="8" t="str">
        <f ca="1">IF($H$10&lt;&gt;"R",IF(DB_TBL_DATA_FIELDS[[#This Row],[SHEET_REF_OWNER]]&lt;&gt;"",DB_TBL_DATA_FIELDS[[#This Row],[SHEET_REF_OWNER]],""),IF(DB_TBL_DATA_FIELDS[[#This Row],[SHEET_REF_RENTAL]]&lt;&gt;"",DB_TBL_DATA_FIELDS[[#This Row],[SHEET_REF_RENTAL]],""))</f>
        <v>RentalApp</v>
      </c>
      <c r="D224" s="371" t="s">
        <v>2975</v>
      </c>
      <c r="E224" s="4" t="b">
        <v>0</v>
      </c>
      <c r="F224" s="41" t="b">
        <f ca="1">IF(SPONSOR_CERTIFICATION_INDICATOR=FALSE,FALSE,AND(NOT($J$223),LIMITED_PARTNERSHIP_FLAG=TRUE))</f>
        <v>0</v>
      </c>
      <c r="G224" s="6" t="s">
        <v>3003</v>
      </c>
      <c r="H224" s="11" t="str">
        <f ca="1">IFERROR(VLOOKUP(DB_TBL_DATA_FIELDS[[#This Row],[FIELD_ID]],INDIRECT(DB_TBL_DATA_FIELDS[[#This Row],[SHEET_REF_CALC]]&amp;"!A:B"),2,FALSE),"")</f>
        <v/>
      </c>
      <c r="I224" s="29" t="str">
        <f ca="1">IF(DB_TBL_DATA_FIELDS[[#This Row],[FIELD_EMPTY_FLAG]],"",IF(SPONSOR_CERTIFICATION_INDICATOR=FALSE,FALSE,AND(NOT($J$223),LIMITED_PARTNERSHIP_FLAG=TRUE)))</f>
        <v/>
      </c>
      <c r="J224" s="6" t="b">
        <f ca="1">(DB_TBL_DATA_FIELDS[[#This Row],[FIELD_VALUE_RAW]]="")</f>
        <v>1</v>
      </c>
      <c r="K224" s="6" t="s">
        <v>11</v>
      </c>
      <c r="L224" s="8" t="b">
        <f ca="1">AND(IF(DB_TBL_DATA_FIELDS[[#This Row],[FIELD_VALID_CUSTOM_LOGIC]]="",TRUE,DB_TBL_DATA_FIELDS[[#This Row],[FIELD_VALID_CUSTOM_LOGIC]]),DB_TBL_DATA_FIELDS[[#This Row],[RANGE_VALIDATION_PASSED_FLAG]])</f>
        <v>1</v>
      </c>
      <c r="M224"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24" s="8">
        <f ca="1">IF(DB_TBL_DATA_FIELDS[[#This Row],[SHEET_REF_CALC]]="","",IF(DB_TBL_DATA_FIELDS[[#This Row],[FIELD_EMPTY_FLAG]],IF(NOT(DB_TBL_DATA_FIELDS[[#This Row],[FIELD_REQ_FLAG]]),-1,1),IF(NOT(DB_TBL_DATA_FIELDS[[#This Row],[FIELD_VALID_FLAG]]),0,2)))</f>
        <v>-1</v>
      </c>
      <c r="O224" s="8" t="str">
        <f ca="1">IFERROR(VLOOKUP(DB_TBL_DATA_FIELDS[[#This Row],[FIELD_STATUS_CODE]],DB_TBL_CONFIG_FIELDSTATUSCODES[#All],3,FALSE),"")</f>
        <v>Optional</v>
      </c>
      <c r="P224" s="8" t="str">
        <f ca="1">IFERROR(VLOOKUP(DB_TBL_DATA_FIELDS[[#This Row],[FIELD_STATUS_CODE]],DB_TBL_CONFIG_FIELDSTATUSCODES[#All],4,FALSE),"")</f>
        <v xml:space="preserve"> </v>
      </c>
      <c r="Q224" s="8" t="b">
        <f>TRUE</f>
        <v>1</v>
      </c>
      <c r="R224" s="8" t="b">
        <f>TRUE</f>
        <v>1</v>
      </c>
      <c r="S224" s="4" t="s">
        <v>11</v>
      </c>
      <c r="T224" s="8">
        <f ca="1">IF(DB_TBL_DATA_FIELDS[[#This Row],[RANGE_VALIDATION_FLAG]]="Text",LEN(DB_TBL_DATA_FIELDS[[#This Row],[FIELD_VALUE_RAW]]),IFERROR(VALUE(DB_TBL_DATA_FIELDS[[#This Row],[FIELD_VALUE_RAW]]),-1))</f>
        <v>0</v>
      </c>
      <c r="U224" s="8">
        <v>0</v>
      </c>
      <c r="V224" s="8">
        <v>25</v>
      </c>
      <c r="W224" s="8" t="b">
        <f ca="1">IF(NOT(DB_TBL_DATA_FIELDS[[#This Row],[RANGE_VALIDATION_ON_FLAG]]),TRUE,
AND(DB_TBL_DATA_FIELDS[[#This Row],[RANGE_VALUE_LEN]]&gt;=DB_TBL_DATA_FIELDS[[#This Row],[RANGE_VALIDATION_MIN]],DB_TBL_DATA_FIELDS[[#This Row],[RANGE_VALUE_LEN]]&lt;=DB_TBL_DATA_FIELDS[[#This Row],[RANGE_VALIDATION_MAX]]))</f>
        <v>1</v>
      </c>
      <c r="X224" s="8">
        <v>1</v>
      </c>
      <c r="Y224" s="8">
        <f ca="1">IF(DB_TBL_DATA_FIELDS[[#This Row],[PCT_CALC_SHOW_STATUS_CODE]]=1,
DB_TBL_DATA_FIELDS[[#This Row],[FIELD_STATUS_CODE]],
IF(AND(DB_TBL_DATA_FIELDS[[#This Row],[PCT_CALC_SHOW_STATUS_CODE]]=2,DB_TBL_DATA_FIELDS[[#This Row],[FIELD_STATUS_CODE]]=0),
DB_TBL_DATA_FIELDS[[#This Row],[FIELD_STATUS_CODE]],
"")
)</f>
        <v>-1</v>
      </c>
      <c r="Z224" s="8"/>
      <c r="AA224" s="11" t="s">
        <v>2945</v>
      </c>
      <c r="AB224" s="11" t="s">
        <v>2931</v>
      </c>
      <c r="AC224" s="8"/>
    </row>
    <row r="225" spans="1:29" x14ac:dyDescent="0.2">
      <c r="A225" s="4"/>
      <c r="B225" s="4" t="s">
        <v>64</v>
      </c>
      <c r="C225" s="8" t="str">
        <f ca="1">IF($H$10&lt;&gt;"R",IF(DB_TBL_DATA_FIELDS[[#This Row],[SHEET_REF_OWNER]]&lt;&gt;"",DB_TBL_DATA_FIELDS[[#This Row],[SHEET_REF_OWNER]],""),IF(DB_TBL_DATA_FIELDS[[#This Row],[SHEET_REF_RENTAL]]&lt;&gt;"",DB_TBL_DATA_FIELDS[[#This Row],[SHEET_REF_RENTAL]],""))</f>
        <v>RentalApp</v>
      </c>
      <c r="D225" s="116" t="s">
        <v>2976</v>
      </c>
      <c r="E225" s="4" t="b">
        <v>0</v>
      </c>
      <c r="F225" s="117" t="b">
        <v>0</v>
      </c>
      <c r="G225" s="116" t="s">
        <v>3001</v>
      </c>
      <c r="H225" s="120"/>
      <c r="I225" s="29" t="str">
        <f>IF(DB_TBL_DATA_FIELDS[[#This Row],[FIELD_EMPTY_FLAG]],"",IF(SPONSOR_CERTIFICATION_INDICATOR=FALSE,FALSE,AND(NOT($J$223),LIMITED_PARTNERSHIP_FLAG=TRUE)))</f>
        <v/>
      </c>
      <c r="J225" s="6" t="b">
        <f>(DB_TBL_DATA_FIELDS[[#This Row],[FIELD_VALUE_RAW]]="")</f>
        <v>1</v>
      </c>
      <c r="K225" s="6" t="s">
        <v>62</v>
      </c>
      <c r="L225" s="8" t="b">
        <f>AND(IF(DB_TBL_DATA_FIELDS[[#This Row],[FIELD_VALID_CUSTOM_LOGIC]]="",TRUE,DB_TBL_DATA_FIELDS[[#This Row],[FIELD_VALID_CUSTOM_LOGIC]]),DB_TBL_DATA_FIELDS[[#This Row],[RANGE_VALIDATION_PASSED_FLAG]])</f>
        <v>1</v>
      </c>
      <c r="M225" s="11"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25" s="8">
        <f ca="1">IF(DB_TBL_DATA_FIELDS[[#This Row],[SHEET_REF_CALC]]="","",IF(DB_TBL_DATA_FIELDS[[#This Row],[FIELD_EMPTY_FLAG]],IF(NOT(DB_TBL_DATA_FIELDS[[#This Row],[FIELD_REQ_FLAG]]),-1,1),IF(NOT(DB_TBL_DATA_FIELDS[[#This Row],[FIELD_VALID_FLAG]]),0,2)))</f>
        <v>-1</v>
      </c>
      <c r="O225" s="8" t="str">
        <f ca="1">IFERROR(VLOOKUP(DB_TBL_DATA_FIELDS[[#This Row],[FIELD_STATUS_CODE]],DB_TBL_CONFIG_FIELDSTATUSCODES[#All],3,FALSE),"")</f>
        <v>Optional</v>
      </c>
      <c r="P225" s="8" t="str">
        <f ca="1">IFERROR(VLOOKUP(DB_TBL_DATA_FIELDS[[#This Row],[FIELD_STATUS_CODE]],DB_TBL_CONFIG_FIELDSTATUSCODES[#All],4,FALSE),"")</f>
        <v xml:space="preserve"> </v>
      </c>
      <c r="Q225" s="8" t="b">
        <f>TRUE</f>
        <v>1</v>
      </c>
      <c r="R225" s="8" t="b">
        <f>TRUE</f>
        <v>1</v>
      </c>
      <c r="S225" s="4" t="s">
        <v>62</v>
      </c>
      <c r="T225" s="8">
        <f>IF(DB_TBL_DATA_FIELDS[[#This Row],[RANGE_VALIDATION_FLAG]]="Text",LEN(DB_TBL_DATA_FIELDS[[#This Row],[FIELD_VALUE_RAW]]),IFERROR(VALUE(DB_TBL_DATA_FIELDS[[#This Row],[FIELD_VALUE_RAW]]),-1))</f>
        <v>0</v>
      </c>
      <c r="U225" s="8">
        <v>0</v>
      </c>
      <c r="V225" s="8">
        <v>100</v>
      </c>
      <c r="W225" s="8" t="b">
        <f>IF(NOT(DB_TBL_DATA_FIELDS[[#This Row],[RANGE_VALIDATION_ON_FLAG]]),TRUE,
AND(DB_TBL_DATA_FIELDS[[#This Row],[RANGE_VALUE_LEN]]&gt;=DB_TBL_DATA_FIELDS[[#This Row],[RANGE_VALIDATION_MIN]],DB_TBL_DATA_FIELDS[[#This Row],[RANGE_VALUE_LEN]]&lt;=DB_TBL_DATA_FIELDS[[#This Row],[RANGE_VALIDATION_MAX]]))</f>
        <v>1</v>
      </c>
      <c r="X225" s="8">
        <v>1</v>
      </c>
      <c r="Y225" s="8">
        <f ca="1">IF(DB_TBL_DATA_FIELDS[[#This Row],[PCT_CALC_SHOW_STATUS_CODE]]=1,
DB_TBL_DATA_FIELDS[[#This Row],[FIELD_STATUS_CODE]],
IF(AND(DB_TBL_DATA_FIELDS[[#This Row],[PCT_CALC_SHOW_STATUS_CODE]]=2,DB_TBL_DATA_FIELDS[[#This Row],[FIELD_STATUS_CODE]]=0),
DB_TBL_DATA_FIELDS[[#This Row],[FIELD_STATUS_CODE]],
"")
)</f>
        <v>-1</v>
      </c>
      <c r="Z225" s="8"/>
      <c r="AA225" s="11" t="s">
        <v>2946</v>
      </c>
      <c r="AB225" s="11" t="s">
        <v>2931</v>
      </c>
      <c r="AC225" s="8"/>
    </row>
    <row r="226" spans="1:29" x14ac:dyDescent="0.2">
      <c r="A226" s="4"/>
      <c r="B226" s="4" t="s">
        <v>64</v>
      </c>
      <c r="C226" s="8" t="str">
        <f ca="1">IF($H$10&lt;&gt;"R",IF(DB_TBL_DATA_FIELDS[[#This Row],[SHEET_REF_OWNER]]&lt;&gt;"",DB_TBL_DATA_FIELDS[[#This Row],[SHEET_REF_OWNER]],""),IF(DB_TBL_DATA_FIELDS[[#This Row],[SHEET_REF_RENTAL]]&lt;&gt;"",DB_TBL_DATA_FIELDS[[#This Row],[SHEET_REF_RENTAL]],""))</f>
        <v>RentalApp</v>
      </c>
      <c r="D226" s="371" t="s">
        <v>2977</v>
      </c>
      <c r="E226" s="4" t="b">
        <v>0</v>
      </c>
      <c r="F226" s="41" t="b">
        <f ca="1">IF(SPONSOR_CERTIFICATION_INDICATOR=FALSE,FALSE,AND(NOT($J$223),LIMITED_PARTNERSHIP_FLAG=TRUE))</f>
        <v>0</v>
      </c>
      <c r="G226" s="6" t="s">
        <v>3000</v>
      </c>
      <c r="H226" s="11" t="str">
        <f ca="1">IFERROR(VLOOKUP(DB_TBL_DATA_FIELDS[[#This Row],[FIELD_ID]],INDIRECT(DB_TBL_DATA_FIELDS[[#This Row],[SHEET_REF_CALC]]&amp;"!A:B"),2,FALSE),"")</f>
        <v/>
      </c>
      <c r="I226" s="29" t="str">
        <f ca="1">IF(DB_TBL_DATA_FIELDS[[#This Row],[FIELD_EMPTY_FLAG]],"",IF(SPONSOR_CERTIFICATION_INDICATOR=FALSE,FALSE,AND(NOT($J$223),LIMITED_PARTNERSHIP_FLAG=TRUE)))</f>
        <v/>
      </c>
      <c r="J226" s="6" t="b">
        <f ca="1">(DB_TBL_DATA_FIELDS[[#This Row],[FIELD_VALUE_RAW]]="")</f>
        <v>1</v>
      </c>
      <c r="K226" s="6" t="s">
        <v>62</v>
      </c>
      <c r="L226" s="8" t="b">
        <f ca="1">AND(IF(DB_TBL_DATA_FIELDS[[#This Row],[FIELD_VALID_CUSTOM_LOGIC]]="",TRUE,DB_TBL_DATA_FIELDS[[#This Row],[FIELD_VALID_CUSTOM_LOGIC]]),DB_TBL_DATA_FIELDS[[#This Row],[RANGE_VALIDATION_PASSED_FLAG]])</f>
        <v>0</v>
      </c>
      <c r="M226"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26" s="8">
        <f ca="1">IF(DB_TBL_DATA_FIELDS[[#This Row],[SHEET_REF_CALC]]="","",IF(DB_TBL_DATA_FIELDS[[#This Row],[FIELD_EMPTY_FLAG]],IF(NOT(DB_TBL_DATA_FIELDS[[#This Row],[FIELD_REQ_FLAG]]),-1,1),IF(NOT(DB_TBL_DATA_FIELDS[[#This Row],[FIELD_VALID_FLAG]]),0,2)))</f>
        <v>-1</v>
      </c>
      <c r="O226" s="8" t="str">
        <f ca="1">IFERROR(VLOOKUP(DB_TBL_DATA_FIELDS[[#This Row],[FIELD_STATUS_CODE]],DB_TBL_CONFIG_FIELDSTATUSCODES[#All],3,FALSE),"")</f>
        <v>Optional</v>
      </c>
      <c r="P226" s="8" t="str">
        <f ca="1">IFERROR(VLOOKUP(DB_TBL_DATA_FIELDS[[#This Row],[FIELD_STATUS_CODE]],DB_TBL_CONFIG_FIELDSTATUSCODES[#All],4,FALSE),"")</f>
        <v xml:space="preserve"> </v>
      </c>
      <c r="Q226" s="8" t="b">
        <f>TRUE</f>
        <v>1</v>
      </c>
      <c r="R226" s="8" t="b">
        <f>TRUE</f>
        <v>1</v>
      </c>
      <c r="S226" s="4" t="s">
        <v>62</v>
      </c>
      <c r="T226" s="8">
        <f ca="1">IF(DB_TBL_DATA_FIELDS[[#This Row],[RANGE_VALIDATION_FLAG]]="Text",LEN(DB_TBL_DATA_FIELDS[[#This Row],[FIELD_VALUE_RAW]]),IFERROR(VALUE(DB_TBL_DATA_FIELDS[[#This Row],[FIELD_VALUE_RAW]]),-1))</f>
        <v>-1</v>
      </c>
      <c r="U226" s="8">
        <v>0</v>
      </c>
      <c r="V226" s="8">
        <v>100</v>
      </c>
      <c r="W226" s="8" t="b">
        <f ca="1">IF(NOT(DB_TBL_DATA_FIELDS[[#This Row],[RANGE_VALIDATION_ON_FLAG]]),TRUE,
AND(DB_TBL_DATA_FIELDS[[#This Row],[RANGE_VALUE_LEN]]&gt;=DB_TBL_DATA_FIELDS[[#This Row],[RANGE_VALIDATION_MIN]],DB_TBL_DATA_FIELDS[[#This Row],[RANGE_VALUE_LEN]]&lt;=DB_TBL_DATA_FIELDS[[#This Row],[RANGE_VALIDATION_MAX]]))</f>
        <v>0</v>
      </c>
      <c r="X226" s="8">
        <v>1</v>
      </c>
      <c r="Y226" s="8">
        <f ca="1">IF(DB_TBL_DATA_FIELDS[[#This Row],[PCT_CALC_SHOW_STATUS_CODE]]=1,
DB_TBL_DATA_FIELDS[[#This Row],[FIELD_STATUS_CODE]],
IF(AND(DB_TBL_DATA_FIELDS[[#This Row],[PCT_CALC_SHOW_STATUS_CODE]]=2,DB_TBL_DATA_FIELDS[[#This Row],[FIELD_STATUS_CODE]]=0),
DB_TBL_DATA_FIELDS[[#This Row],[FIELD_STATUS_CODE]],
"")
)</f>
        <v>-1</v>
      </c>
      <c r="Z226" s="8"/>
      <c r="AA226" s="11" t="s">
        <v>2947</v>
      </c>
      <c r="AB226" s="11" t="s">
        <v>2931</v>
      </c>
      <c r="AC226" s="8"/>
    </row>
    <row r="227" spans="1:29" x14ac:dyDescent="0.2">
      <c r="A227" s="4"/>
      <c r="B227" s="4" t="s">
        <v>64</v>
      </c>
      <c r="C227" s="8" t="str">
        <f ca="1">IF($H$10&lt;&gt;"R",IF(DB_TBL_DATA_FIELDS[[#This Row],[SHEET_REF_OWNER]]&lt;&gt;"",DB_TBL_DATA_FIELDS[[#This Row],[SHEET_REF_OWNER]],""),IF(DB_TBL_DATA_FIELDS[[#This Row],[SHEET_REF_RENTAL]]&lt;&gt;"",DB_TBL_DATA_FIELDS[[#This Row],[SHEET_REF_RENTAL]],""))</f>
        <v>RentalApp</v>
      </c>
      <c r="D227" s="116" t="s">
        <v>3342</v>
      </c>
      <c r="E227" s="4" t="b">
        <v>0</v>
      </c>
      <c r="F227" s="117" t="b">
        <v>0</v>
      </c>
      <c r="G227" s="116" t="s">
        <v>3344</v>
      </c>
      <c r="H227" s="120"/>
      <c r="I227" s="29" t="str">
        <f>IF(DB_TBL_DATA_FIELDS[[#This Row],[FIELD_VALUE_RAW]]&lt;&gt;"",DB_TBL_DATA_FIELDS[[#This Row],[FIELD_VALUE_RAW]]=100,"")</f>
        <v/>
      </c>
      <c r="J227" s="6" t="b">
        <f>(DB_TBL_DATA_FIELDS[[#This Row],[FIELD_VALUE_RAW]]="")</f>
        <v>1</v>
      </c>
      <c r="K227" s="6" t="s">
        <v>62</v>
      </c>
      <c r="L227" s="8" t="b">
        <f>AND(IF(DB_TBL_DATA_FIELDS[[#This Row],[FIELD_VALID_CUSTOM_LOGIC]]="",TRUE,DB_TBL_DATA_FIELDS[[#This Row],[FIELD_VALID_CUSTOM_LOGIC]]),DB_TBL_DATA_FIELDS[[#This Row],[RANGE_VALIDATION_PASSED_FLAG]])</f>
        <v>1</v>
      </c>
      <c r="M227" s="11"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27" s="8">
        <f ca="1">IF(DB_TBL_DATA_FIELDS[[#This Row],[SHEET_REF_CALC]]="","",IF(DB_TBL_DATA_FIELDS[[#This Row],[FIELD_EMPTY_FLAG]],IF(NOT(DB_TBL_DATA_FIELDS[[#This Row],[FIELD_REQ_FLAG]]),-1,1),IF(NOT(DB_TBL_DATA_FIELDS[[#This Row],[FIELD_VALID_FLAG]]),0,2)))</f>
        <v>-1</v>
      </c>
      <c r="O227" s="8" t="str">
        <f ca="1">IFERROR(VLOOKUP(DB_TBL_DATA_FIELDS[[#This Row],[FIELD_STATUS_CODE]],DB_TBL_CONFIG_FIELDSTATUSCODES[#All],3,FALSE),"")</f>
        <v>Optional</v>
      </c>
      <c r="P227" s="8" t="str">
        <f ca="1">IFERROR(VLOOKUP(DB_TBL_DATA_FIELDS[[#This Row],[FIELD_STATUS_CODE]],DB_TBL_CONFIG_FIELDSTATUSCODES[#All],4,FALSE),"")</f>
        <v xml:space="preserve"> </v>
      </c>
      <c r="Q227" s="8" t="b">
        <f>TRUE</f>
        <v>1</v>
      </c>
      <c r="R227" s="8" t="b">
        <v>0</v>
      </c>
      <c r="S227" s="4"/>
      <c r="T227" s="8">
        <f>IF(DB_TBL_DATA_FIELDS[[#This Row],[RANGE_VALIDATION_FLAG]]="Text",LEN(DB_TBL_DATA_FIELDS[[#This Row],[FIELD_VALUE_RAW]]),IFERROR(VALUE(DB_TBL_DATA_FIELDS[[#This Row],[FIELD_VALUE_RAW]]),-1))</f>
        <v>0</v>
      </c>
      <c r="U227" s="8">
        <v>0</v>
      </c>
      <c r="V227" s="8">
        <v>9999999</v>
      </c>
      <c r="W227" s="8" t="b">
        <f>IF(NOT(DB_TBL_DATA_FIELDS[[#This Row],[RANGE_VALIDATION_ON_FLAG]]),TRUE,
AND(DB_TBL_DATA_FIELDS[[#This Row],[RANGE_VALUE_LEN]]&gt;=DB_TBL_DATA_FIELDS[[#This Row],[RANGE_VALIDATION_MIN]],DB_TBL_DATA_FIELDS[[#This Row],[RANGE_VALUE_LEN]]&lt;=DB_TBL_DATA_FIELDS[[#This Row],[RANGE_VALIDATION_MAX]]))</f>
        <v>1</v>
      </c>
      <c r="X227" s="8">
        <v>1</v>
      </c>
      <c r="Y227" s="8">
        <f ca="1">IF(DB_TBL_DATA_FIELDS[[#This Row],[PCT_CALC_SHOW_STATUS_CODE]]=1,
DB_TBL_DATA_FIELDS[[#This Row],[FIELD_STATUS_CODE]],
IF(AND(DB_TBL_DATA_FIELDS[[#This Row],[PCT_CALC_SHOW_STATUS_CODE]]=2,DB_TBL_DATA_FIELDS[[#This Row],[FIELD_STATUS_CODE]]=0),
DB_TBL_DATA_FIELDS[[#This Row],[FIELD_STATUS_CODE]],
"")
)</f>
        <v>-1</v>
      </c>
      <c r="Z227" s="101" t="str">
        <f>IF(DB_TBL_DATA_FIELDS[[#This Row],[FIELD_VALID_CUSTOM_LOGIC]]="","",IF(NOT(DB_TBL_DATA_FIELDS[[#This Row],[FIELD_VALID_CUSTOM_LOGIC]]),"Must Total to 100%",""))</f>
        <v/>
      </c>
      <c r="AA227" s="11" t="s">
        <v>3346</v>
      </c>
      <c r="AB227" s="11" t="s">
        <v>2931</v>
      </c>
      <c r="AC227" s="8" t="s">
        <v>3247</v>
      </c>
    </row>
    <row r="228" spans="1:29" x14ac:dyDescent="0.2">
      <c r="A228" s="4"/>
      <c r="B228" s="4" t="s">
        <v>64</v>
      </c>
      <c r="C228" s="8" t="str">
        <f ca="1">IF($H$10&lt;&gt;"R",IF(DB_TBL_DATA_FIELDS[[#This Row],[SHEET_REF_OWNER]]&lt;&gt;"",DB_TBL_DATA_FIELDS[[#This Row],[SHEET_REF_OWNER]],""),IF(DB_TBL_DATA_FIELDS[[#This Row],[SHEET_REF_RENTAL]]&lt;&gt;"",DB_TBL_DATA_FIELDS[[#This Row],[SHEET_REF_RENTAL]],""))</f>
        <v>RentalApp</v>
      </c>
      <c r="D228" s="371" t="s">
        <v>3343</v>
      </c>
      <c r="E228" s="4" t="b">
        <v>0</v>
      </c>
      <c r="F228" s="45" t="b">
        <v>0</v>
      </c>
      <c r="G228" s="6" t="s">
        <v>3345</v>
      </c>
      <c r="H228" s="29" t="str">
        <f ca="1">IF(AND(OR(H218&lt;&gt;"",H222&lt;&gt;"",H226&lt;&gt;""),F218),SUM(H226,H222,H218),"")</f>
        <v/>
      </c>
      <c r="I228" s="29" t="str">
        <f ca="1">IF(DB_TBL_DATA_FIELDS[[#This Row],[FIELD_VALUE_RAW]]&lt;&gt;"",DB_TBL_DATA_FIELDS[[#This Row],[FIELD_VALUE_RAW]]=100,"")</f>
        <v/>
      </c>
      <c r="J228" s="6" t="b">
        <f ca="1">(DB_TBL_DATA_FIELDS[[#This Row],[FIELD_VALUE_RAW]]="")</f>
        <v>1</v>
      </c>
      <c r="K228" s="6" t="s">
        <v>62</v>
      </c>
      <c r="L228" s="8" t="b">
        <f ca="1">AND(IF(DB_TBL_DATA_FIELDS[[#This Row],[FIELD_VALID_CUSTOM_LOGIC]]="",TRUE,DB_TBL_DATA_FIELDS[[#This Row],[FIELD_VALID_CUSTOM_LOGIC]]),DB_TBL_DATA_FIELDS[[#This Row],[RANGE_VALIDATION_PASSED_FLAG]])</f>
        <v>1</v>
      </c>
      <c r="M228"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28" s="8">
        <f ca="1">IF(DB_TBL_DATA_FIELDS[[#This Row],[SHEET_REF_CALC]]="","",IF(DB_TBL_DATA_FIELDS[[#This Row],[FIELD_EMPTY_FLAG]],IF(NOT(DB_TBL_DATA_FIELDS[[#This Row],[FIELD_REQ_FLAG]]),-1,1),IF(NOT(DB_TBL_DATA_FIELDS[[#This Row],[FIELD_VALID_FLAG]]),0,2)))</f>
        <v>-1</v>
      </c>
      <c r="O228" s="8" t="str">
        <f ca="1">IFERROR(VLOOKUP(DB_TBL_DATA_FIELDS[[#This Row],[FIELD_STATUS_CODE]],DB_TBL_CONFIG_FIELDSTATUSCODES[#All],3,FALSE),"")</f>
        <v>Optional</v>
      </c>
      <c r="P228" s="8" t="str">
        <f ca="1">IFERROR(VLOOKUP(DB_TBL_DATA_FIELDS[[#This Row],[FIELD_STATUS_CODE]],DB_TBL_CONFIG_FIELDSTATUSCODES[#All],4,FALSE),"")</f>
        <v xml:space="preserve"> </v>
      </c>
      <c r="Q228" s="8" t="b">
        <f>TRUE</f>
        <v>1</v>
      </c>
      <c r="R228" s="8" t="b">
        <v>0</v>
      </c>
      <c r="S228" s="4"/>
      <c r="T228" s="8">
        <f ca="1">IF(DB_TBL_DATA_FIELDS[[#This Row],[RANGE_VALIDATION_FLAG]]="Text",LEN(DB_TBL_DATA_FIELDS[[#This Row],[FIELD_VALUE_RAW]]),IFERROR(VALUE(DB_TBL_DATA_FIELDS[[#This Row],[FIELD_VALUE_RAW]]),-1))</f>
        <v>-1</v>
      </c>
      <c r="U228" s="8">
        <v>0</v>
      </c>
      <c r="V228" s="8">
        <v>9999999</v>
      </c>
      <c r="W228" s="8" t="b">
        <f>IF(NOT(DB_TBL_DATA_FIELDS[[#This Row],[RANGE_VALIDATION_ON_FLAG]]),TRUE,
AND(DB_TBL_DATA_FIELDS[[#This Row],[RANGE_VALUE_LEN]]&gt;=DB_TBL_DATA_FIELDS[[#This Row],[RANGE_VALIDATION_MIN]],DB_TBL_DATA_FIELDS[[#This Row],[RANGE_VALUE_LEN]]&lt;=DB_TBL_DATA_FIELDS[[#This Row],[RANGE_VALIDATION_MAX]]))</f>
        <v>1</v>
      </c>
      <c r="X228" s="8">
        <v>1</v>
      </c>
      <c r="Y228" s="8">
        <f ca="1">IF(DB_TBL_DATA_FIELDS[[#This Row],[PCT_CALC_SHOW_STATUS_CODE]]=1,
DB_TBL_DATA_FIELDS[[#This Row],[FIELD_STATUS_CODE]],
IF(AND(DB_TBL_DATA_FIELDS[[#This Row],[PCT_CALC_SHOW_STATUS_CODE]]=2,DB_TBL_DATA_FIELDS[[#This Row],[FIELD_STATUS_CODE]]=0),
DB_TBL_DATA_FIELDS[[#This Row],[FIELD_STATUS_CODE]],
"")
)</f>
        <v>-1</v>
      </c>
      <c r="Z228" s="101" t="str">
        <f ca="1">IF(DB_TBL_DATA_FIELDS[[#This Row],[FIELD_VALID_CUSTOM_LOGIC]]="","",IF(NOT(DB_TBL_DATA_FIELDS[[#This Row],[FIELD_VALID_CUSTOM_LOGIC]]),"Must Total to 100%",""))</f>
        <v/>
      </c>
      <c r="AA228" s="11" t="s">
        <v>3347</v>
      </c>
      <c r="AB228" s="11" t="s">
        <v>2931</v>
      </c>
      <c r="AC228" s="8" t="s">
        <v>3247</v>
      </c>
    </row>
    <row r="229" spans="1:29" x14ac:dyDescent="0.2">
      <c r="A229" s="4" t="s">
        <v>65</v>
      </c>
      <c r="B229" s="4"/>
      <c r="C229" s="8" t="str">
        <f ca="1">IF($H$10&lt;&gt;"R",IF(DB_TBL_DATA_FIELDS[[#This Row],[SHEET_REF_OWNER]]&lt;&gt;"",DB_TBL_DATA_FIELDS[[#This Row],[SHEET_REF_OWNER]],""),IF(DB_TBL_DATA_FIELDS[[#This Row],[SHEET_REF_RENTAL]]&lt;&gt;"",DB_TBL_DATA_FIELDS[[#This Row],[SHEET_REF_RENTAL]],""))</f>
        <v/>
      </c>
      <c r="D229" s="371" t="s">
        <v>2978</v>
      </c>
      <c r="E229" s="91" t="b">
        <v>1</v>
      </c>
      <c r="F229" s="41" t="b">
        <f t="shared" ref="F229:F239" ca="1" si="5">IF(SPONSOR_CERTIFICATION_INDICATOR=FALSE,FALSE,TRUE)</f>
        <v>1</v>
      </c>
      <c r="G229" s="6" t="s">
        <v>2991</v>
      </c>
      <c r="H229" s="11" t="str">
        <f ca="1">IFERROR(VLOOKUP(DB_TBL_DATA_FIELDS[[#This Row],[FIELD_ID]],INDIRECT(DB_TBL_DATA_FIELDS[[#This Row],[SHEET_REF_CALC]]&amp;"!A:B"),2,FALSE),"")</f>
        <v/>
      </c>
      <c r="I229" s="29" t="str">
        <f ca="1">IF(DB_TBL_DATA_FIELDS[[#This Row],[FIELD_EMPTY_FLAG]],"",IF(SPONSOR_CERTIFICATION_INDICATOR=FALSE,FALSE,""))</f>
        <v/>
      </c>
      <c r="J229" s="6" t="b">
        <f ca="1">(DB_TBL_DATA_FIELDS[[#This Row],[FIELD_VALUE_RAW]]="")</f>
        <v>1</v>
      </c>
      <c r="K229" s="6" t="s">
        <v>209</v>
      </c>
      <c r="L229" s="8" t="b">
        <f ca="1">AND(IF(DB_TBL_DATA_FIELDS[[#This Row],[FIELD_VALID_CUSTOM_LOGIC]]="",TRUE,DB_TBL_DATA_FIELDS[[#This Row],[FIELD_VALID_CUSTOM_LOGIC]]),DB_TBL_DATA_FIELDS[[#This Row],[RANGE_VALIDATION_PASSED_FLAG]])</f>
        <v>1</v>
      </c>
      <c r="M229"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29" s="8" t="str">
        <f ca="1">IF(DB_TBL_DATA_FIELDS[[#This Row],[SHEET_REF_CALC]]="","",IF(DB_TBL_DATA_FIELDS[[#This Row],[FIELD_EMPTY_FLAG]],IF(NOT(DB_TBL_DATA_FIELDS[[#This Row],[FIELD_REQ_FLAG]]),-1,1),IF(NOT(DB_TBL_DATA_FIELDS[[#This Row],[FIELD_VALID_FLAG]]),0,2)))</f>
        <v/>
      </c>
      <c r="O229" s="8" t="str">
        <f ca="1">IFERROR(VLOOKUP(DB_TBL_DATA_FIELDS[[#This Row],[FIELD_STATUS_CODE]],DB_TBL_CONFIG_FIELDSTATUSCODES[#All],3,FALSE),"")</f>
        <v/>
      </c>
      <c r="P229" s="8" t="str">
        <f ca="1">IFERROR(VLOOKUP(DB_TBL_DATA_FIELDS[[#This Row],[FIELD_STATUS_CODE]],DB_TBL_CONFIG_FIELDSTATUSCODES[#All],4,FALSE),"")</f>
        <v/>
      </c>
      <c r="Q229" s="8" t="b">
        <f>TRUE</f>
        <v>1</v>
      </c>
      <c r="R229" s="8" t="b">
        <v>0</v>
      </c>
      <c r="S229" s="4"/>
      <c r="T229" s="8">
        <f ca="1">IF(DB_TBL_DATA_FIELDS[[#This Row],[RANGE_VALIDATION_FLAG]]="Text",LEN(DB_TBL_DATA_FIELDS[[#This Row],[FIELD_VALUE_RAW]]),IFERROR(VALUE(DB_TBL_DATA_FIELDS[[#This Row],[FIELD_VALUE_RAW]]),-1))</f>
        <v>-1</v>
      </c>
      <c r="U229" s="8">
        <v>0</v>
      </c>
      <c r="V229" s="8">
        <v>1</v>
      </c>
      <c r="W229" s="8" t="b">
        <f>IF(NOT(DB_TBL_DATA_FIELDS[[#This Row],[RANGE_VALIDATION_ON_FLAG]]),TRUE,
AND(DB_TBL_DATA_FIELDS[[#This Row],[RANGE_VALUE_LEN]]&gt;=DB_TBL_DATA_FIELDS[[#This Row],[RANGE_VALIDATION_MIN]],DB_TBL_DATA_FIELDS[[#This Row],[RANGE_VALUE_LEN]]&lt;=DB_TBL_DATA_FIELDS[[#This Row],[RANGE_VALIDATION_MAX]]))</f>
        <v>1</v>
      </c>
      <c r="X229" s="8">
        <v>1</v>
      </c>
      <c r="Y229" s="8" t="str">
        <f ca="1">IF(DB_TBL_DATA_FIELDS[[#This Row],[PCT_CALC_SHOW_STATUS_CODE]]=1,
DB_TBL_DATA_FIELDS[[#This Row],[FIELD_STATUS_CODE]],
IF(AND(DB_TBL_DATA_FIELDS[[#This Row],[PCT_CALC_SHOW_STATUS_CODE]]=2,DB_TBL_DATA_FIELDS[[#This Row],[FIELD_STATUS_CODE]]=0),
DB_TBL_DATA_FIELDS[[#This Row],[FIELD_STATUS_CODE]],
"")
)</f>
        <v/>
      </c>
      <c r="Z229" s="8"/>
      <c r="AA229" s="11" t="s">
        <v>2948</v>
      </c>
      <c r="AB229" s="11" t="s">
        <v>2931</v>
      </c>
      <c r="AC229" s="8"/>
    </row>
    <row r="230" spans="1:29" x14ac:dyDescent="0.2">
      <c r="A230" s="4" t="s">
        <v>65</v>
      </c>
      <c r="B230" s="4"/>
      <c r="C230" s="8" t="str">
        <f ca="1">IF($H$10&lt;&gt;"R",IF(DB_TBL_DATA_FIELDS[[#This Row],[SHEET_REF_OWNER]]&lt;&gt;"",DB_TBL_DATA_FIELDS[[#This Row],[SHEET_REF_OWNER]],""),IF(DB_TBL_DATA_FIELDS[[#This Row],[SHEET_REF_RENTAL]]&lt;&gt;"",DB_TBL_DATA_FIELDS[[#This Row],[SHEET_REF_RENTAL]],""))</f>
        <v/>
      </c>
      <c r="D230" s="371" t="s">
        <v>2979</v>
      </c>
      <c r="E230" s="91" t="b">
        <v>1</v>
      </c>
      <c r="F230" s="41" t="b">
        <f t="shared" ca="1" si="5"/>
        <v>1</v>
      </c>
      <c r="G230" s="6" t="s">
        <v>2992</v>
      </c>
      <c r="H230" s="11" t="str">
        <f ca="1">IFERROR(VLOOKUP(DB_TBL_DATA_FIELDS[[#This Row],[FIELD_ID]],INDIRECT(DB_TBL_DATA_FIELDS[[#This Row],[SHEET_REF_CALC]]&amp;"!A:B"),2,FALSE),"")</f>
        <v/>
      </c>
      <c r="I230" s="29" t="str">
        <f ca="1">IF(DB_TBL_DATA_FIELDS[[#This Row],[FIELD_EMPTY_FLAG]],"",IF(SPONSOR_CERTIFICATION_INDICATOR=FALSE,FALSE,""))</f>
        <v/>
      </c>
      <c r="J230" s="6" t="b">
        <f ca="1">(DB_TBL_DATA_FIELDS[[#This Row],[FIELD_VALUE_RAW]]="")</f>
        <v>1</v>
      </c>
      <c r="K230" s="6" t="s">
        <v>209</v>
      </c>
      <c r="L230" s="8" t="b">
        <f ca="1">AND(IF(DB_TBL_DATA_FIELDS[[#This Row],[FIELD_VALID_CUSTOM_LOGIC]]="",TRUE,DB_TBL_DATA_FIELDS[[#This Row],[FIELD_VALID_CUSTOM_LOGIC]]),DB_TBL_DATA_FIELDS[[#This Row],[RANGE_VALIDATION_PASSED_FLAG]])</f>
        <v>1</v>
      </c>
      <c r="M230"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30" s="8" t="str">
        <f ca="1">IF(DB_TBL_DATA_FIELDS[[#This Row],[SHEET_REF_CALC]]="","",IF(DB_TBL_DATA_FIELDS[[#This Row],[FIELD_EMPTY_FLAG]],IF(NOT(DB_TBL_DATA_FIELDS[[#This Row],[FIELD_REQ_FLAG]]),-1,1),IF(NOT(DB_TBL_DATA_FIELDS[[#This Row],[FIELD_VALID_FLAG]]),0,2)))</f>
        <v/>
      </c>
      <c r="O230" s="8" t="str">
        <f ca="1">IFERROR(VLOOKUP(DB_TBL_DATA_FIELDS[[#This Row],[FIELD_STATUS_CODE]],DB_TBL_CONFIG_FIELDSTATUSCODES[#All],3,FALSE),"")</f>
        <v/>
      </c>
      <c r="P230" s="8" t="str">
        <f ca="1">IFERROR(VLOOKUP(DB_TBL_DATA_FIELDS[[#This Row],[FIELD_STATUS_CODE]],DB_TBL_CONFIG_FIELDSTATUSCODES[#All],4,FALSE),"")</f>
        <v/>
      </c>
      <c r="Q230" s="8" t="b">
        <f>TRUE</f>
        <v>1</v>
      </c>
      <c r="R230" s="8" t="b">
        <v>0</v>
      </c>
      <c r="S230" s="4"/>
      <c r="T230" s="8">
        <f ca="1">IF(DB_TBL_DATA_FIELDS[[#This Row],[RANGE_VALIDATION_FLAG]]="Text",LEN(DB_TBL_DATA_FIELDS[[#This Row],[FIELD_VALUE_RAW]]),IFERROR(VALUE(DB_TBL_DATA_FIELDS[[#This Row],[FIELD_VALUE_RAW]]),-1))</f>
        <v>-1</v>
      </c>
      <c r="U230" s="8">
        <v>0</v>
      </c>
      <c r="V230" s="8">
        <v>1</v>
      </c>
      <c r="W230" s="8" t="b">
        <f>IF(NOT(DB_TBL_DATA_FIELDS[[#This Row],[RANGE_VALIDATION_ON_FLAG]]),TRUE,
AND(DB_TBL_DATA_FIELDS[[#This Row],[RANGE_VALUE_LEN]]&gt;=DB_TBL_DATA_FIELDS[[#This Row],[RANGE_VALIDATION_MIN]],DB_TBL_DATA_FIELDS[[#This Row],[RANGE_VALUE_LEN]]&lt;=DB_TBL_DATA_FIELDS[[#This Row],[RANGE_VALIDATION_MAX]]))</f>
        <v>1</v>
      </c>
      <c r="X230" s="8">
        <v>1</v>
      </c>
      <c r="Y230" s="8" t="str">
        <f ca="1">IF(DB_TBL_DATA_FIELDS[[#This Row],[PCT_CALC_SHOW_STATUS_CODE]]=1,
DB_TBL_DATA_FIELDS[[#This Row],[FIELD_STATUS_CODE]],
IF(AND(DB_TBL_DATA_FIELDS[[#This Row],[PCT_CALC_SHOW_STATUS_CODE]]=2,DB_TBL_DATA_FIELDS[[#This Row],[FIELD_STATUS_CODE]]=0),
DB_TBL_DATA_FIELDS[[#This Row],[FIELD_STATUS_CODE]],
"")
)</f>
        <v/>
      </c>
      <c r="Z230" s="8"/>
      <c r="AA230" s="11" t="s">
        <v>2949</v>
      </c>
      <c r="AB230" s="11" t="s">
        <v>2931</v>
      </c>
      <c r="AC230" s="8"/>
    </row>
    <row r="231" spans="1:29" x14ac:dyDescent="0.2">
      <c r="A231" s="4" t="s">
        <v>65</v>
      </c>
      <c r="B231" s="4"/>
      <c r="C231" s="8" t="str">
        <f ca="1">IF($H$10&lt;&gt;"R",IF(DB_TBL_DATA_FIELDS[[#This Row],[SHEET_REF_OWNER]]&lt;&gt;"",DB_TBL_DATA_FIELDS[[#This Row],[SHEET_REF_OWNER]],""),IF(DB_TBL_DATA_FIELDS[[#This Row],[SHEET_REF_RENTAL]]&lt;&gt;"",DB_TBL_DATA_FIELDS[[#This Row],[SHEET_REF_RENTAL]],""))</f>
        <v/>
      </c>
      <c r="D231" s="371" t="s">
        <v>2980</v>
      </c>
      <c r="E231" s="91" t="b">
        <v>1</v>
      </c>
      <c r="F231" s="41" t="b">
        <f t="shared" ca="1" si="5"/>
        <v>1</v>
      </c>
      <c r="G231" s="6" t="s">
        <v>2993</v>
      </c>
      <c r="H231" s="11" t="str">
        <f ca="1">IFERROR(VLOOKUP(DB_TBL_DATA_FIELDS[[#This Row],[FIELD_ID]],INDIRECT(DB_TBL_DATA_FIELDS[[#This Row],[SHEET_REF_CALC]]&amp;"!A:B"),2,FALSE),"")</f>
        <v/>
      </c>
      <c r="I231" s="29" t="str">
        <f ca="1">IF(DB_TBL_DATA_FIELDS[[#This Row],[FIELD_EMPTY_FLAG]],"",IF(SPONSOR_CERTIFICATION_INDICATOR=FALSE,FALSE,""))</f>
        <v/>
      </c>
      <c r="J231" s="6" t="b">
        <f ca="1">(DB_TBL_DATA_FIELDS[[#This Row],[FIELD_VALUE_RAW]]="")</f>
        <v>1</v>
      </c>
      <c r="K231" s="6" t="s">
        <v>209</v>
      </c>
      <c r="L231" s="8" t="b">
        <f ca="1">AND(IF(DB_TBL_DATA_FIELDS[[#This Row],[FIELD_VALID_CUSTOM_LOGIC]]="",TRUE,DB_TBL_DATA_FIELDS[[#This Row],[FIELD_VALID_CUSTOM_LOGIC]]),DB_TBL_DATA_FIELDS[[#This Row],[RANGE_VALIDATION_PASSED_FLAG]])</f>
        <v>1</v>
      </c>
      <c r="M231"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31" s="8" t="str">
        <f ca="1">IF(DB_TBL_DATA_FIELDS[[#This Row],[SHEET_REF_CALC]]="","",IF(DB_TBL_DATA_FIELDS[[#This Row],[FIELD_EMPTY_FLAG]],IF(NOT(DB_TBL_DATA_FIELDS[[#This Row],[FIELD_REQ_FLAG]]),-1,1),IF(NOT(DB_TBL_DATA_FIELDS[[#This Row],[FIELD_VALID_FLAG]]),0,2)))</f>
        <v/>
      </c>
      <c r="O231" s="8" t="str">
        <f ca="1">IFERROR(VLOOKUP(DB_TBL_DATA_FIELDS[[#This Row],[FIELD_STATUS_CODE]],DB_TBL_CONFIG_FIELDSTATUSCODES[#All],3,FALSE),"")</f>
        <v/>
      </c>
      <c r="P231" s="8" t="str">
        <f ca="1">IFERROR(VLOOKUP(DB_TBL_DATA_FIELDS[[#This Row],[FIELD_STATUS_CODE]],DB_TBL_CONFIG_FIELDSTATUSCODES[#All],4,FALSE),"")</f>
        <v/>
      </c>
      <c r="Q231" s="8" t="b">
        <f>TRUE</f>
        <v>1</v>
      </c>
      <c r="R231" s="8" t="b">
        <v>0</v>
      </c>
      <c r="S231" s="4"/>
      <c r="T231" s="8">
        <f ca="1">IF(DB_TBL_DATA_FIELDS[[#This Row],[RANGE_VALIDATION_FLAG]]="Text",LEN(DB_TBL_DATA_FIELDS[[#This Row],[FIELD_VALUE_RAW]]),IFERROR(VALUE(DB_TBL_DATA_FIELDS[[#This Row],[FIELD_VALUE_RAW]]),-1))</f>
        <v>-1</v>
      </c>
      <c r="U231" s="8">
        <v>0</v>
      </c>
      <c r="V231" s="8">
        <v>1</v>
      </c>
      <c r="W231" s="8" t="b">
        <f>IF(NOT(DB_TBL_DATA_FIELDS[[#This Row],[RANGE_VALIDATION_ON_FLAG]]),TRUE,
AND(DB_TBL_DATA_FIELDS[[#This Row],[RANGE_VALUE_LEN]]&gt;=DB_TBL_DATA_FIELDS[[#This Row],[RANGE_VALIDATION_MIN]],DB_TBL_DATA_FIELDS[[#This Row],[RANGE_VALUE_LEN]]&lt;=DB_TBL_DATA_FIELDS[[#This Row],[RANGE_VALIDATION_MAX]]))</f>
        <v>1</v>
      </c>
      <c r="X231" s="8">
        <v>1</v>
      </c>
      <c r="Y231" s="8" t="str">
        <f ca="1">IF(DB_TBL_DATA_FIELDS[[#This Row],[PCT_CALC_SHOW_STATUS_CODE]]=1,
DB_TBL_DATA_FIELDS[[#This Row],[FIELD_STATUS_CODE]],
IF(AND(DB_TBL_DATA_FIELDS[[#This Row],[PCT_CALC_SHOW_STATUS_CODE]]=2,DB_TBL_DATA_FIELDS[[#This Row],[FIELD_STATUS_CODE]]=0),
DB_TBL_DATA_FIELDS[[#This Row],[FIELD_STATUS_CODE]],
"")
)</f>
        <v/>
      </c>
      <c r="Z231" s="8"/>
      <c r="AA231" s="11" t="s">
        <v>2950</v>
      </c>
      <c r="AB231" s="11" t="s">
        <v>2931</v>
      </c>
      <c r="AC231" s="8"/>
    </row>
    <row r="232" spans="1:29" x14ac:dyDescent="0.2">
      <c r="A232" s="4"/>
      <c r="B232" s="4" t="s">
        <v>64</v>
      </c>
      <c r="C232" s="8" t="str">
        <f ca="1">IF($H$10&lt;&gt;"R",IF(DB_TBL_DATA_FIELDS[[#This Row],[SHEET_REF_OWNER]]&lt;&gt;"",DB_TBL_DATA_FIELDS[[#This Row],[SHEET_REF_OWNER]],""),IF(DB_TBL_DATA_FIELDS[[#This Row],[SHEET_REF_RENTAL]]&lt;&gt;"",DB_TBL_DATA_FIELDS[[#This Row],[SHEET_REF_RENTAL]],""))</f>
        <v>RentalApp</v>
      </c>
      <c r="D232" s="370" t="s">
        <v>2981</v>
      </c>
      <c r="E232" s="91" t="b">
        <v>1</v>
      </c>
      <c r="F232" s="117" t="b">
        <v>0</v>
      </c>
      <c r="G232" s="116" t="s">
        <v>2994</v>
      </c>
      <c r="H232" s="120"/>
      <c r="I232" s="29" t="str">
        <f>IF(DB_TBL_DATA_FIELDS[[#This Row],[FIELD_EMPTY_FLAG]],"",IF(SPONSOR_CERTIFICATION_INDICATOR=FALSE,FALSE,""))</f>
        <v/>
      </c>
      <c r="J232" s="6" t="b">
        <f>(DB_TBL_DATA_FIELDS[[#This Row],[FIELD_VALUE_RAW]]="")</f>
        <v>1</v>
      </c>
      <c r="K232" s="6" t="s">
        <v>209</v>
      </c>
      <c r="L232" s="8" t="b">
        <f>AND(IF(DB_TBL_DATA_FIELDS[[#This Row],[FIELD_VALID_CUSTOM_LOGIC]]="",TRUE,DB_TBL_DATA_FIELDS[[#This Row],[FIELD_VALID_CUSTOM_LOGIC]]),DB_TBL_DATA_FIELDS[[#This Row],[RANGE_VALIDATION_PASSED_FLAG]])</f>
        <v>1</v>
      </c>
      <c r="M232" s="11"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32" s="8">
        <f ca="1">IF(DB_TBL_DATA_FIELDS[[#This Row],[SHEET_REF_CALC]]="","",IF(DB_TBL_DATA_FIELDS[[#This Row],[FIELD_EMPTY_FLAG]],IF(NOT(DB_TBL_DATA_FIELDS[[#This Row],[FIELD_REQ_FLAG]]),-1,1),IF(NOT(DB_TBL_DATA_FIELDS[[#This Row],[FIELD_VALID_FLAG]]),0,2)))</f>
        <v>-1</v>
      </c>
      <c r="O232" s="8" t="str">
        <f ca="1">IFERROR(VLOOKUP(DB_TBL_DATA_FIELDS[[#This Row],[FIELD_STATUS_CODE]],DB_TBL_CONFIG_FIELDSTATUSCODES[#All],3,FALSE),"")</f>
        <v>Optional</v>
      </c>
      <c r="P232" s="8" t="str">
        <f ca="1">IFERROR(VLOOKUP(DB_TBL_DATA_FIELDS[[#This Row],[FIELD_STATUS_CODE]],DB_TBL_CONFIG_FIELDSTATUSCODES[#All],4,FALSE),"")</f>
        <v xml:space="preserve"> </v>
      </c>
      <c r="Q232" s="8" t="b">
        <f>TRUE</f>
        <v>1</v>
      </c>
      <c r="R232" s="8" t="b">
        <v>0</v>
      </c>
      <c r="S232" s="4"/>
      <c r="T232" s="8">
        <f>IF(DB_TBL_DATA_FIELDS[[#This Row],[RANGE_VALIDATION_FLAG]]="Text",LEN(DB_TBL_DATA_FIELDS[[#This Row],[FIELD_VALUE_RAW]]),IFERROR(VALUE(DB_TBL_DATA_FIELDS[[#This Row],[FIELD_VALUE_RAW]]),-1))</f>
        <v>0</v>
      </c>
      <c r="U232" s="8">
        <v>0</v>
      </c>
      <c r="V232" s="8">
        <v>1</v>
      </c>
      <c r="W232" s="8" t="b">
        <f>IF(NOT(DB_TBL_DATA_FIELDS[[#This Row],[RANGE_VALIDATION_ON_FLAG]]),TRUE,
AND(DB_TBL_DATA_FIELDS[[#This Row],[RANGE_VALUE_LEN]]&gt;=DB_TBL_DATA_FIELDS[[#This Row],[RANGE_VALIDATION_MIN]],DB_TBL_DATA_FIELDS[[#This Row],[RANGE_VALUE_LEN]]&lt;=DB_TBL_DATA_FIELDS[[#This Row],[RANGE_VALIDATION_MAX]]))</f>
        <v>1</v>
      </c>
      <c r="X232" s="8">
        <v>1</v>
      </c>
      <c r="Y232" s="8">
        <f ca="1">IF(DB_TBL_DATA_FIELDS[[#This Row],[PCT_CALC_SHOW_STATUS_CODE]]=1,
DB_TBL_DATA_FIELDS[[#This Row],[FIELD_STATUS_CODE]],
IF(AND(DB_TBL_DATA_FIELDS[[#This Row],[PCT_CALC_SHOW_STATUS_CODE]]=2,DB_TBL_DATA_FIELDS[[#This Row],[FIELD_STATUS_CODE]]=0),
DB_TBL_DATA_FIELDS[[#This Row],[FIELD_STATUS_CODE]],
"")
)</f>
        <v>-1</v>
      </c>
      <c r="Z232" s="8"/>
      <c r="AA232" s="11" t="s">
        <v>2951</v>
      </c>
      <c r="AB232" s="11" t="s">
        <v>2931</v>
      </c>
      <c r="AC232" s="8"/>
    </row>
    <row r="233" spans="1:29" x14ac:dyDescent="0.2">
      <c r="A233" s="4"/>
      <c r="B233" s="4" t="s">
        <v>64</v>
      </c>
      <c r="C233" s="8" t="str">
        <f ca="1">IF($H$10&lt;&gt;"R",IF(DB_TBL_DATA_FIELDS[[#This Row],[SHEET_REF_OWNER]]&lt;&gt;"",DB_TBL_DATA_FIELDS[[#This Row],[SHEET_REF_OWNER]],""),IF(DB_TBL_DATA_FIELDS[[#This Row],[SHEET_REF_RENTAL]]&lt;&gt;"",DB_TBL_DATA_FIELDS[[#This Row],[SHEET_REF_RENTAL]],""))</f>
        <v>RentalApp</v>
      </c>
      <c r="D233" s="370" t="s">
        <v>2982</v>
      </c>
      <c r="E233" s="91" t="b">
        <v>1</v>
      </c>
      <c r="F233" s="117" t="b">
        <v>0</v>
      </c>
      <c r="G233" s="116" t="s">
        <v>2995</v>
      </c>
      <c r="H233" s="120"/>
      <c r="I233" s="29" t="str">
        <f>IF(DB_TBL_DATA_FIELDS[[#This Row],[FIELD_EMPTY_FLAG]],"",IF(SPONSOR_CERTIFICATION_INDICATOR=FALSE,FALSE,""))</f>
        <v/>
      </c>
      <c r="J233" s="6" t="b">
        <f>(DB_TBL_DATA_FIELDS[[#This Row],[FIELD_VALUE_RAW]]="")</f>
        <v>1</v>
      </c>
      <c r="K233" s="6" t="s">
        <v>209</v>
      </c>
      <c r="L233" s="8" t="b">
        <f>AND(IF(DB_TBL_DATA_FIELDS[[#This Row],[FIELD_VALID_CUSTOM_LOGIC]]="",TRUE,DB_TBL_DATA_FIELDS[[#This Row],[FIELD_VALID_CUSTOM_LOGIC]]),DB_TBL_DATA_FIELDS[[#This Row],[RANGE_VALIDATION_PASSED_FLAG]])</f>
        <v>1</v>
      </c>
      <c r="M233" s="11"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33" s="8">
        <f ca="1">IF(DB_TBL_DATA_FIELDS[[#This Row],[SHEET_REF_CALC]]="","",IF(DB_TBL_DATA_FIELDS[[#This Row],[FIELD_EMPTY_FLAG]],IF(NOT(DB_TBL_DATA_FIELDS[[#This Row],[FIELD_REQ_FLAG]]),-1,1),IF(NOT(DB_TBL_DATA_FIELDS[[#This Row],[FIELD_VALID_FLAG]]),0,2)))</f>
        <v>-1</v>
      </c>
      <c r="O233" s="8" t="str">
        <f ca="1">IFERROR(VLOOKUP(DB_TBL_DATA_FIELDS[[#This Row],[FIELD_STATUS_CODE]],DB_TBL_CONFIG_FIELDSTATUSCODES[#All],3,FALSE),"")</f>
        <v>Optional</v>
      </c>
      <c r="P233" s="8" t="str">
        <f ca="1">IFERROR(VLOOKUP(DB_TBL_DATA_FIELDS[[#This Row],[FIELD_STATUS_CODE]],DB_TBL_CONFIG_FIELDSTATUSCODES[#All],4,FALSE),"")</f>
        <v xml:space="preserve"> </v>
      </c>
      <c r="Q233" s="8" t="b">
        <f>TRUE</f>
        <v>1</v>
      </c>
      <c r="R233" s="8" t="b">
        <v>0</v>
      </c>
      <c r="S233" s="4"/>
      <c r="T233" s="8">
        <f>IF(DB_TBL_DATA_FIELDS[[#This Row],[RANGE_VALIDATION_FLAG]]="Text",LEN(DB_TBL_DATA_FIELDS[[#This Row],[FIELD_VALUE_RAW]]),IFERROR(VALUE(DB_TBL_DATA_FIELDS[[#This Row],[FIELD_VALUE_RAW]]),-1))</f>
        <v>0</v>
      </c>
      <c r="U233" s="8">
        <v>0</v>
      </c>
      <c r="V233" s="8">
        <v>1</v>
      </c>
      <c r="W233" s="8" t="b">
        <f>IF(NOT(DB_TBL_DATA_FIELDS[[#This Row],[RANGE_VALIDATION_ON_FLAG]]),TRUE,
AND(DB_TBL_DATA_FIELDS[[#This Row],[RANGE_VALUE_LEN]]&gt;=DB_TBL_DATA_FIELDS[[#This Row],[RANGE_VALIDATION_MIN]],DB_TBL_DATA_FIELDS[[#This Row],[RANGE_VALUE_LEN]]&lt;=DB_TBL_DATA_FIELDS[[#This Row],[RANGE_VALIDATION_MAX]]))</f>
        <v>1</v>
      </c>
      <c r="X233" s="8">
        <v>1</v>
      </c>
      <c r="Y233" s="8">
        <f ca="1">IF(DB_TBL_DATA_FIELDS[[#This Row],[PCT_CALC_SHOW_STATUS_CODE]]=1,
DB_TBL_DATA_FIELDS[[#This Row],[FIELD_STATUS_CODE]],
IF(AND(DB_TBL_DATA_FIELDS[[#This Row],[PCT_CALC_SHOW_STATUS_CODE]]=2,DB_TBL_DATA_FIELDS[[#This Row],[FIELD_STATUS_CODE]]=0),
DB_TBL_DATA_FIELDS[[#This Row],[FIELD_STATUS_CODE]],
"")
)</f>
        <v>-1</v>
      </c>
      <c r="Z233" s="8"/>
      <c r="AA233" s="11" t="s">
        <v>2952</v>
      </c>
      <c r="AB233" s="11" t="s">
        <v>2931</v>
      </c>
      <c r="AC233" s="8"/>
    </row>
    <row r="234" spans="1:29" x14ac:dyDescent="0.2">
      <c r="A234" s="4" t="s">
        <v>65</v>
      </c>
      <c r="B234" s="4"/>
      <c r="C234" s="8" t="str">
        <f ca="1">IF($H$10&lt;&gt;"R",IF(DB_TBL_DATA_FIELDS[[#This Row],[SHEET_REF_OWNER]]&lt;&gt;"",DB_TBL_DATA_FIELDS[[#This Row],[SHEET_REF_OWNER]],""),IF(DB_TBL_DATA_FIELDS[[#This Row],[SHEET_REF_RENTAL]]&lt;&gt;"",DB_TBL_DATA_FIELDS[[#This Row],[SHEET_REF_RENTAL]],""))</f>
        <v/>
      </c>
      <c r="D234" s="371" t="s">
        <v>2983</v>
      </c>
      <c r="E234" s="91" t="b">
        <v>1</v>
      </c>
      <c r="F234" s="41" t="b">
        <f t="shared" ca="1" si="5"/>
        <v>1</v>
      </c>
      <c r="G234" s="6" t="s">
        <v>2996</v>
      </c>
      <c r="H234" s="11" t="str">
        <f ca="1">IFERROR(VLOOKUP(DB_TBL_DATA_FIELDS[[#This Row],[FIELD_ID]],INDIRECT(DB_TBL_DATA_FIELDS[[#This Row],[SHEET_REF_CALC]]&amp;"!A:B"),2,FALSE),"")</f>
        <v/>
      </c>
      <c r="I234" s="29" t="str">
        <f ca="1">IF(DB_TBL_DATA_FIELDS[[#This Row],[FIELD_EMPTY_FLAG]],"",IF(SPONSOR_CERTIFICATION_INDICATOR=FALSE,FALSE,""))</f>
        <v/>
      </c>
      <c r="J234" s="6" t="b">
        <f ca="1">(DB_TBL_DATA_FIELDS[[#This Row],[FIELD_VALUE_RAW]]="")</f>
        <v>1</v>
      </c>
      <c r="K234" s="6" t="s">
        <v>209</v>
      </c>
      <c r="L234" s="8" t="b">
        <f ca="1">AND(IF(DB_TBL_DATA_FIELDS[[#This Row],[FIELD_VALID_CUSTOM_LOGIC]]="",TRUE,DB_TBL_DATA_FIELDS[[#This Row],[FIELD_VALID_CUSTOM_LOGIC]]),DB_TBL_DATA_FIELDS[[#This Row],[RANGE_VALIDATION_PASSED_FLAG]])</f>
        <v>1</v>
      </c>
      <c r="M234"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34" s="8" t="str">
        <f ca="1">IF(DB_TBL_DATA_FIELDS[[#This Row],[SHEET_REF_CALC]]="","",IF(DB_TBL_DATA_FIELDS[[#This Row],[FIELD_EMPTY_FLAG]],IF(NOT(DB_TBL_DATA_FIELDS[[#This Row],[FIELD_REQ_FLAG]]),-1,1),IF(NOT(DB_TBL_DATA_FIELDS[[#This Row],[FIELD_VALID_FLAG]]),0,2)))</f>
        <v/>
      </c>
      <c r="O234" s="8" t="str">
        <f ca="1">IFERROR(VLOOKUP(DB_TBL_DATA_FIELDS[[#This Row],[FIELD_STATUS_CODE]],DB_TBL_CONFIG_FIELDSTATUSCODES[#All],3,FALSE),"")</f>
        <v/>
      </c>
      <c r="P234" s="8" t="str">
        <f ca="1">IFERROR(VLOOKUP(DB_TBL_DATA_FIELDS[[#This Row],[FIELD_STATUS_CODE]],DB_TBL_CONFIG_FIELDSTATUSCODES[#All],4,FALSE),"")</f>
        <v/>
      </c>
      <c r="Q234" s="8" t="b">
        <f>TRUE</f>
        <v>1</v>
      </c>
      <c r="R234" s="8" t="b">
        <v>0</v>
      </c>
      <c r="S234" s="4"/>
      <c r="T234" s="8">
        <f ca="1">IF(DB_TBL_DATA_FIELDS[[#This Row],[RANGE_VALIDATION_FLAG]]="Text",LEN(DB_TBL_DATA_FIELDS[[#This Row],[FIELD_VALUE_RAW]]),IFERROR(VALUE(DB_TBL_DATA_FIELDS[[#This Row],[FIELD_VALUE_RAW]]),-1))</f>
        <v>-1</v>
      </c>
      <c r="U234" s="8">
        <v>0</v>
      </c>
      <c r="V234" s="8">
        <v>1</v>
      </c>
      <c r="W234" s="8" t="b">
        <f>IF(NOT(DB_TBL_DATA_FIELDS[[#This Row],[RANGE_VALIDATION_ON_FLAG]]),TRUE,
AND(DB_TBL_DATA_FIELDS[[#This Row],[RANGE_VALUE_LEN]]&gt;=DB_TBL_DATA_FIELDS[[#This Row],[RANGE_VALIDATION_MIN]],DB_TBL_DATA_FIELDS[[#This Row],[RANGE_VALUE_LEN]]&lt;=DB_TBL_DATA_FIELDS[[#This Row],[RANGE_VALIDATION_MAX]]))</f>
        <v>1</v>
      </c>
      <c r="X234" s="8">
        <v>1</v>
      </c>
      <c r="Y234" s="8" t="str">
        <f ca="1">IF(DB_TBL_DATA_FIELDS[[#This Row],[PCT_CALC_SHOW_STATUS_CODE]]=1,
DB_TBL_DATA_FIELDS[[#This Row],[FIELD_STATUS_CODE]],
IF(AND(DB_TBL_DATA_FIELDS[[#This Row],[PCT_CALC_SHOW_STATUS_CODE]]=2,DB_TBL_DATA_FIELDS[[#This Row],[FIELD_STATUS_CODE]]=0),
DB_TBL_DATA_FIELDS[[#This Row],[FIELD_STATUS_CODE]],
"")
)</f>
        <v/>
      </c>
      <c r="Z234" s="8"/>
      <c r="AA234" s="11" t="s">
        <v>2953</v>
      </c>
      <c r="AB234" s="11" t="s">
        <v>2931</v>
      </c>
      <c r="AC234" s="8"/>
    </row>
    <row r="235" spans="1:29" x14ac:dyDescent="0.2">
      <c r="A235" s="4" t="s">
        <v>65</v>
      </c>
      <c r="B235" s="4"/>
      <c r="C235" s="8" t="str">
        <f ca="1">IF($H$10&lt;&gt;"R",IF(DB_TBL_DATA_FIELDS[[#This Row],[SHEET_REF_OWNER]]&lt;&gt;"",DB_TBL_DATA_FIELDS[[#This Row],[SHEET_REF_OWNER]],""),IF(DB_TBL_DATA_FIELDS[[#This Row],[SHEET_REF_RENTAL]]&lt;&gt;"",DB_TBL_DATA_FIELDS[[#This Row],[SHEET_REF_RENTAL]],""))</f>
        <v/>
      </c>
      <c r="D235" s="371" t="s">
        <v>2984</v>
      </c>
      <c r="E235" s="91" t="b">
        <v>1</v>
      </c>
      <c r="F235" s="41" t="b">
        <f t="shared" ca="1" si="5"/>
        <v>1</v>
      </c>
      <c r="G235" s="6" t="s">
        <v>2997</v>
      </c>
      <c r="H235" s="11" t="str">
        <f ca="1">IFERROR(VLOOKUP(DB_TBL_DATA_FIELDS[[#This Row],[FIELD_ID]],INDIRECT(DB_TBL_DATA_FIELDS[[#This Row],[SHEET_REF_CALC]]&amp;"!A:B"),2,FALSE),"")</f>
        <v/>
      </c>
      <c r="I235" s="29" t="str">
        <f ca="1">IF(DB_TBL_DATA_FIELDS[[#This Row],[FIELD_EMPTY_FLAG]],"",IF(SPONSOR_CERTIFICATION_INDICATOR=FALSE,FALSE,""))</f>
        <v/>
      </c>
      <c r="J235" s="6" t="b">
        <f ca="1">(DB_TBL_DATA_FIELDS[[#This Row],[FIELD_VALUE_RAW]]="")</f>
        <v>1</v>
      </c>
      <c r="K235" s="6" t="s">
        <v>209</v>
      </c>
      <c r="L235" s="8" t="b">
        <f ca="1">AND(IF(DB_TBL_DATA_FIELDS[[#This Row],[FIELD_VALID_CUSTOM_LOGIC]]="",TRUE,DB_TBL_DATA_FIELDS[[#This Row],[FIELD_VALID_CUSTOM_LOGIC]]),DB_TBL_DATA_FIELDS[[#This Row],[RANGE_VALIDATION_PASSED_FLAG]])</f>
        <v>1</v>
      </c>
      <c r="M235"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35" s="8" t="str">
        <f ca="1">IF(DB_TBL_DATA_FIELDS[[#This Row],[SHEET_REF_CALC]]="","",IF(DB_TBL_DATA_FIELDS[[#This Row],[FIELD_EMPTY_FLAG]],IF(NOT(DB_TBL_DATA_FIELDS[[#This Row],[FIELD_REQ_FLAG]]),-1,1),IF(NOT(DB_TBL_DATA_FIELDS[[#This Row],[FIELD_VALID_FLAG]]),0,2)))</f>
        <v/>
      </c>
      <c r="O235" s="8" t="str">
        <f ca="1">IFERROR(VLOOKUP(DB_TBL_DATA_FIELDS[[#This Row],[FIELD_STATUS_CODE]],DB_TBL_CONFIG_FIELDSTATUSCODES[#All],3,FALSE),"")</f>
        <v/>
      </c>
      <c r="P235" s="8" t="str">
        <f ca="1">IFERROR(VLOOKUP(DB_TBL_DATA_FIELDS[[#This Row],[FIELD_STATUS_CODE]],DB_TBL_CONFIG_FIELDSTATUSCODES[#All],4,FALSE),"")</f>
        <v/>
      </c>
      <c r="Q235" s="8" t="b">
        <f>TRUE</f>
        <v>1</v>
      </c>
      <c r="R235" s="8" t="b">
        <v>0</v>
      </c>
      <c r="S235" s="4"/>
      <c r="T235" s="8">
        <f ca="1">IF(DB_TBL_DATA_FIELDS[[#This Row],[RANGE_VALIDATION_FLAG]]="Text",LEN(DB_TBL_DATA_FIELDS[[#This Row],[FIELD_VALUE_RAW]]),IFERROR(VALUE(DB_TBL_DATA_FIELDS[[#This Row],[FIELD_VALUE_RAW]]),-1))</f>
        <v>-1</v>
      </c>
      <c r="U235" s="8">
        <v>0</v>
      </c>
      <c r="V235" s="8">
        <v>1</v>
      </c>
      <c r="W235" s="8" t="b">
        <f>IF(NOT(DB_TBL_DATA_FIELDS[[#This Row],[RANGE_VALIDATION_ON_FLAG]]),TRUE,
AND(DB_TBL_DATA_FIELDS[[#This Row],[RANGE_VALUE_LEN]]&gt;=DB_TBL_DATA_FIELDS[[#This Row],[RANGE_VALIDATION_MIN]],DB_TBL_DATA_FIELDS[[#This Row],[RANGE_VALUE_LEN]]&lt;=DB_TBL_DATA_FIELDS[[#This Row],[RANGE_VALIDATION_MAX]]))</f>
        <v>1</v>
      </c>
      <c r="X235" s="8">
        <v>1</v>
      </c>
      <c r="Y235" s="8" t="str">
        <f ca="1">IF(DB_TBL_DATA_FIELDS[[#This Row],[PCT_CALC_SHOW_STATUS_CODE]]=1,
DB_TBL_DATA_FIELDS[[#This Row],[FIELD_STATUS_CODE]],
IF(AND(DB_TBL_DATA_FIELDS[[#This Row],[PCT_CALC_SHOW_STATUS_CODE]]=2,DB_TBL_DATA_FIELDS[[#This Row],[FIELD_STATUS_CODE]]=0),
DB_TBL_DATA_FIELDS[[#This Row],[FIELD_STATUS_CODE]],
"")
)</f>
        <v/>
      </c>
      <c r="Z235" s="8"/>
      <c r="AA235" s="11" t="s">
        <v>2954</v>
      </c>
      <c r="AB235" s="11" t="s">
        <v>2931</v>
      </c>
      <c r="AC235" s="8"/>
    </row>
    <row r="236" spans="1:29" x14ac:dyDescent="0.2">
      <c r="A236" s="4" t="s">
        <v>65</v>
      </c>
      <c r="B236" s="4"/>
      <c r="C236" s="8" t="str">
        <f ca="1">IF($H$10&lt;&gt;"R",IF(DB_TBL_DATA_FIELDS[[#This Row],[SHEET_REF_OWNER]]&lt;&gt;"",DB_TBL_DATA_FIELDS[[#This Row],[SHEET_REF_OWNER]],""),IF(DB_TBL_DATA_FIELDS[[#This Row],[SHEET_REF_RENTAL]]&lt;&gt;"",DB_TBL_DATA_FIELDS[[#This Row],[SHEET_REF_RENTAL]],""))</f>
        <v/>
      </c>
      <c r="D236" s="371" t="s">
        <v>2985</v>
      </c>
      <c r="E236" s="91" t="b">
        <v>1</v>
      </c>
      <c r="F236" s="41" t="b">
        <f t="shared" ca="1" si="5"/>
        <v>1</v>
      </c>
      <c r="G236" s="6" t="s">
        <v>2998</v>
      </c>
      <c r="H236" s="11" t="str">
        <f ca="1">IFERROR(VLOOKUP(DB_TBL_DATA_FIELDS[[#This Row],[FIELD_ID]],INDIRECT(DB_TBL_DATA_FIELDS[[#This Row],[SHEET_REF_CALC]]&amp;"!A:B"),2,FALSE),"")</f>
        <v/>
      </c>
      <c r="I236" s="29" t="str">
        <f ca="1">IF(DB_TBL_DATA_FIELDS[[#This Row],[FIELD_EMPTY_FLAG]],"",IF(SPONSOR_CERTIFICATION_INDICATOR=FALSE,FALSE,""))</f>
        <v/>
      </c>
      <c r="J236" s="6" t="b">
        <f ca="1">(DB_TBL_DATA_FIELDS[[#This Row],[FIELD_VALUE_RAW]]="")</f>
        <v>1</v>
      </c>
      <c r="K236" s="6" t="s">
        <v>209</v>
      </c>
      <c r="L236" s="8" t="b">
        <f ca="1">AND(IF(DB_TBL_DATA_FIELDS[[#This Row],[FIELD_VALID_CUSTOM_LOGIC]]="",TRUE,DB_TBL_DATA_FIELDS[[#This Row],[FIELD_VALID_CUSTOM_LOGIC]]),DB_TBL_DATA_FIELDS[[#This Row],[RANGE_VALIDATION_PASSED_FLAG]])</f>
        <v>1</v>
      </c>
      <c r="M236"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36" s="8" t="str">
        <f ca="1">IF(DB_TBL_DATA_FIELDS[[#This Row],[SHEET_REF_CALC]]="","",IF(DB_TBL_DATA_FIELDS[[#This Row],[FIELD_EMPTY_FLAG]],IF(NOT(DB_TBL_DATA_FIELDS[[#This Row],[FIELD_REQ_FLAG]]),-1,1),IF(NOT(DB_TBL_DATA_FIELDS[[#This Row],[FIELD_VALID_FLAG]]),0,2)))</f>
        <v/>
      </c>
      <c r="O236" s="8" t="str">
        <f ca="1">IFERROR(VLOOKUP(DB_TBL_DATA_FIELDS[[#This Row],[FIELD_STATUS_CODE]],DB_TBL_CONFIG_FIELDSTATUSCODES[#All],3,FALSE),"")</f>
        <v/>
      </c>
      <c r="P236" s="8" t="str">
        <f ca="1">IFERROR(VLOOKUP(DB_TBL_DATA_FIELDS[[#This Row],[FIELD_STATUS_CODE]],DB_TBL_CONFIG_FIELDSTATUSCODES[#All],4,FALSE),"")</f>
        <v/>
      </c>
      <c r="Q236" s="8" t="b">
        <f>TRUE</f>
        <v>1</v>
      </c>
      <c r="R236" s="8" t="b">
        <v>0</v>
      </c>
      <c r="S236" s="4"/>
      <c r="T236" s="8">
        <f ca="1">IF(DB_TBL_DATA_FIELDS[[#This Row],[RANGE_VALIDATION_FLAG]]="Text",LEN(DB_TBL_DATA_FIELDS[[#This Row],[FIELD_VALUE_RAW]]),IFERROR(VALUE(DB_TBL_DATA_FIELDS[[#This Row],[FIELD_VALUE_RAW]]),-1))</f>
        <v>-1</v>
      </c>
      <c r="U236" s="8">
        <v>0</v>
      </c>
      <c r="V236" s="8">
        <v>1</v>
      </c>
      <c r="W236" s="8" t="b">
        <f>IF(NOT(DB_TBL_DATA_FIELDS[[#This Row],[RANGE_VALIDATION_ON_FLAG]]),TRUE,
AND(DB_TBL_DATA_FIELDS[[#This Row],[RANGE_VALUE_LEN]]&gt;=DB_TBL_DATA_FIELDS[[#This Row],[RANGE_VALIDATION_MIN]],DB_TBL_DATA_FIELDS[[#This Row],[RANGE_VALUE_LEN]]&lt;=DB_TBL_DATA_FIELDS[[#This Row],[RANGE_VALIDATION_MAX]]))</f>
        <v>1</v>
      </c>
      <c r="X236" s="8">
        <v>1</v>
      </c>
      <c r="Y236" s="8" t="str">
        <f ca="1">IF(DB_TBL_DATA_FIELDS[[#This Row],[PCT_CALC_SHOW_STATUS_CODE]]=1,
DB_TBL_DATA_FIELDS[[#This Row],[FIELD_STATUS_CODE]],
IF(AND(DB_TBL_DATA_FIELDS[[#This Row],[PCT_CALC_SHOW_STATUS_CODE]]=2,DB_TBL_DATA_FIELDS[[#This Row],[FIELD_STATUS_CODE]]=0),
DB_TBL_DATA_FIELDS[[#This Row],[FIELD_STATUS_CODE]],
"")
)</f>
        <v/>
      </c>
      <c r="Z236" s="8"/>
      <c r="AA236" s="11" t="s">
        <v>2955</v>
      </c>
      <c r="AB236" s="11" t="s">
        <v>2931</v>
      </c>
      <c r="AC236" s="8"/>
    </row>
    <row r="237" spans="1:29" x14ac:dyDescent="0.2">
      <c r="A237" s="4" t="s">
        <v>65</v>
      </c>
      <c r="B237" s="4"/>
      <c r="C237" s="8" t="str">
        <f ca="1">IF($H$10&lt;&gt;"R",IF(DB_TBL_DATA_FIELDS[[#This Row],[SHEET_REF_OWNER]]&lt;&gt;"",DB_TBL_DATA_FIELDS[[#This Row],[SHEET_REF_OWNER]],""),IF(DB_TBL_DATA_FIELDS[[#This Row],[SHEET_REF_RENTAL]]&lt;&gt;"",DB_TBL_DATA_FIELDS[[#This Row],[SHEET_REF_RENTAL]],""))</f>
        <v/>
      </c>
      <c r="D237" s="371" t="s">
        <v>2986</v>
      </c>
      <c r="E237" s="91" t="b">
        <v>1</v>
      </c>
      <c r="F237" s="41" t="b">
        <f t="shared" ca="1" si="5"/>
        <v>1</v>
      </c>
      <c r="G237" s="6" t="s">
        <v>2999</v>
      </c>
      <c r="H237" s="11" t="str">
        <f ca="1">IFERROR(VLOOKUP(DB_TBL_DATA_FIELDS[[#This Row],[FIELD_ID]],INDIRECT(DB_TBL_DATA_FIELDS[[#This Row],[SHEET_REF_CALC]]&amp;"!A:B"),2,FALSE),"")</f>
        <v/>
      </c>
      <c r="I237" s="29" t="str">
        <f ca="1">IF(DB_TBL_DATA_FIELDS[[#This Row],[FIELD_EMPTY_FLAG]],"",IF(SPONSOR_CERTIFICATION_INDICATOR=FALSE,FALSE,""))</f>
        <v/>
      </c>
      <c r="J237" s="6" t="b">
        <f ca="1">(DB_TBL_DATA_FIELDS[[#This Row],[FIELD_VALUE_RAW]]="")</f>
        <v>1</v>
      </c>
      <c r="K237" s="6" t="s">
        <v>209</v>
      </c>
      <c r="L237" s="8" t="b">
        <f ca="1">AND(IF(DB_TBL_DATA_FIELDS[[#This Row],[FIELD_VALID_CUSTOM_LOGIC]]="",TRUE,DB_TBL_DATA_FIELDS[[#This Row],[FIELD_VALID_CUSTOM_LOGIC]]),DB_TBL_DATA_FIELDS[[#This Row],[RANGE_VALIDATION_PASSED_FLAG]])</f>
        <v>1</v>
      </c>
      <c r="M237"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37" s="8" t="str">
        <f ca="1">IF(DB_TBL_DATA_FIELDS[[#This Row],[SHEET_REF_CALC]]="","",IF(DB_TBL_DATA_FIELDS[[#This Row],[FIELD_EMPTY_FLAG]],IF(NOT(DB_TBL_DATA_FIELDS[[#This Row],[FIELD_REQ_FLAG]]),-1,1),IF(NOT(DB_TBL_DATA_FIELDS[[#This Row],[FIELD_VALID_FLAG]]),0,2)))</f>
        <v/>
      </c>
      <c r="O237" s="8" t="str">
        <f ca="1">IFERROR(VLOOKUP(DB_TBL_DATA_FIELDS[[#This Row],[FIELD_STATUS_CODE]],DB_TBL_CONFIG_FIELDSTATUSCODES[#All],3,FALSE),"")</f>
        <v/>
      </c>
      <c r="P237" s="8" t="str">
        <f ca="1">IFERROR(VLOOKUP(DB_TBL_DATA_FIELDS[[#This Row],[FIELD_STATUS_CODE]],DB_TBL_CONFIG_FIELDSTATUSCODES[#All],4,FALSE),"")</f>
        <v/>
      </c>
      <c r="Q237" s="8" t="b">
        <f>TRUE</f>
        <v>1</v>
      </c>
      <c r="R237" s="8" t="b">
        <v>0</v>
      </c>
      <c r="S237" s="4"/>
      <c r="T237" s="8">
        <f ca="1">IF(DB_TBL_DATA_FIELDS[[#This Row],[RANGE_VALIDATION_FLAG]]="Text",LEN(DB_TBL_DATA_FIELDS[[#This Row],[FIELD_VALUE_RAW]]),IFERROR(VALUE(DB_TBL_DATA_FIELDS[[#This Row],[FIELD_VALUE_RAW]]),-1))</f>
        <v>-1</v>
      </c>
      <c r="U237" s="8">
        <v>0</v>
      </c>
      <c r="V237" s="8">
        <v>1</v>
      </c>
      <c r="W237" s="8" t="b">
        <f>IF(NOT(DB_TBL_DATA_FIELDS[[#This Row],[RANGE_VALIDATION_ON_FLAG]]),TRUE,
AND(DB_TBL_DATA_FIELDS[[#This Row],[RANGE_VALUE_LEN]]&gt;=DB_TBL_DATA_FIELDS[[#This Row],[RANGE_VALIDATION_MIN]],DB_TBL_DATA_FIELDS[[#This Row],[RANGE_VALUE_LEN]]&lt;=DB_TBL_DATA_FIELDS[[#This Row],[RANGE_VALIDATION_MAX]]))</f>
        <v>1</v>
      </c>
      <c r="X237" s="8">
        <v>1</v>
      </c>
      <c r="Y237" s="8" t="str">
        <f ca="1">IF(DB_TBL_DATA_FIELDS[[#This Row],[PCT_CALC_SHOW_STATUS_CODE]]=1,
DB_TBL_DATA_FIELDS[[#This Row],[FIELD_STATUS_CODE]],
IF(AND(DB_TBL_DATA_FIELDS[[#This Row],[PCT_CALC_SHOW_STATUS_CODE]]=2,DB_TBL_DATA_FIELDS[[#This Row],[FIELD_STATUS_CODE]]=0),
DB_TBL_DATA_FIELDS[[#This Row],[FIELD_STATUS_CODE]],
"")
)</f>
        <v/>
      </c>
      <c r="Z237" s="8"/>
      <c r="AA237" s="11" t="s">
        <v>2956</v>
      </c>
      <c r="AB237" s="11" t="s">
        <v>2931</v>
      </c>
      <c r="AC237" s="8"/>
    </row>
    <row r="238" spans="1:29" x14ac:dyDescent="0.2">
      <c r="A238" s="4" t="s">
        <v>65</v>
      </c>
      <c r="B238" s="4"/>
      <c r="C238" s="8" t="str">
        <f ca="1">IF($H$10&lt;&gt;"R",IF(DB_TBL_DATA_FIELDS[[#This Row],[SHEET_REF_OWNER]]&lt;&gt;"",DB_TBL_DATA_FIELDS[[#This Row],[SHEET_REF_OWNER]],""),IF(DB_TBL_DATA_FIELDS[[#This Row],[SHEET_REF_RENTAL]]&lt;&gt;"",DB_TBL_DATA_FIELDS[[#This Row],[SHEET_REF_RENTAL]],""))</f>
        <v/>
      </c>
      <c r="D238" s="371" t="s">
        <v>2987</v>
      </c>
      <c r="E238" s="91" t="b">
        <v>1</v>
      </c>
      <c r="F238" s="41" t="b">
        <f t="shared" ca="1" si="5"/>
        <v>1</v>
      </c>
      <c r="G238" s="6" t="s">
        <v>2990</v>
      </c>
      <c r="H238" s="11" t="str">
        <f ca="1">IFERROR(VLOOKUP(DB_TBL_DATA_FIELDS[[#This Row],[FIELD_ID]],INDIRECT(DB_TBL_DATA_FIELDS[[#This Row],[SHEET_REF_CALC]]&amp;"!A:B"),2,FALSE),"")</f>
        <v/>
      </c>
      <c r="I238" s="29" t="str">
        <f ca="1">IF(DB_TBL_DATA_FIELDS[[#This Row],[FIELD_EMPTY_FLAG]],"",IF(SPONSOR_CERTIFICATION_INDICATOR=FALSE,FALSE,""))</f>
        <v/>
      </c>
      <c r="J238" s="6" t="b">
        <f ca="1">(DB_TBL_DATA_FIELDS[[#This Row],[FIELD_VALUE_RAW]]="")</f>
        <v>1</v>
      </c>
      <c r="K238" s="6" t="s">
        <v>209</v>
      </c>
      <c r="L238" s="8" t="b">
        <f ca="1">AND(IF(DB_TBL_DATA_FIELDS[[#This Row],[FIELD_VALID_CUSTOM_LOGIC]]="",TRUE,DB_TBL_DATA_FIELDS[[#This Row],[FIELD_VALID_CUSTOM_LOGIC]]),DB_TBL_DATA_FIELDS[[#This Row],[RANGE_VALIDATION_PASSED_FLAG]])</f>
        <v>1</v>
      </c>
      <c r="M238"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38" s="8" t="str">
        <f ca="1">IF(DB_TBL_DATA_FIELDS[[#This Row],[SHEET_REF_CALC]]="","",IF(DB_TBL_DATA_FIELDS[[#This Row],[FIELD_EMPTY_FLAG]],IF(NOT(DB_TBL_DATA_FIELDS[[#This Row],[FIELD_REQ_FLAG]]),-1,1),IF(NOT(DB_TBL_DATA_FIELDS[[#This Row],[FIELD_VALID_FLAG]]),0,2)))</f>
        <v/>
      </c>
      <c r="O238" s="8" t="str">
        <f ca="1">IFERROR(VLOOKUP(DB_TBL_DATA_FIELDS[[#This Row],[FIELD_STATUS_CODE]],DB_TBL_CONFIG_FIELDSTATUSCODES[#All],3,FALSE),"")</f>
        <v/>
      </c>
      <c r="P238" s="8" t="str">
        <f ca="1">IFERROR(VLOOKUP(DB_TBL_DATA_FIELDS[[#This Row],[FIELD_STATUS_CODE]],DB_TBL_CONFIG_FIELDSTATUSCODES[#All],4,FALSE),"")</f>
        <v/>
      </c>
      <c r="Q238" s="8" t="b">
        <f>TRUE</f>
        <v>1</v>
      </c>
      <c r="R238" s="8" t="b">
        <v>0</v>
      </c>
      <c r="S238" s="4"/>
      <c r="T238" s="8">
        <f ca="1">IF(DB_TBL_DATA_FIELDS[[#This Row],[RANGE_VALIDATION_FLAG]]="Text",LEN(DB_TBL_DATA_FIELDS[[#This Row],[FIELD_VALUE_RAW]]),IFERROR(VALUE(DB_TBL_DATA_FIELDS[[#This Row],[FIELD_VALUE_RAW]]),-1))</f>
        <v>-1</v>
      </c>
      <c r="U238" s="8">
        <v>0</v>
      </c>
      <c r="V238" s="8">
        <v>1</v>
      </c>
      <c r="W238" s="8" t="b">
        <f>IF(NOT(DB_TBL_DATA_FIELDS[[#This Row],[RANGE_VALIDATION_ON_FLAG]]),TRUE,
AND(DB_TBL_DATA_FIELDS[[#This Row],[RANGE_VALUE_LEN]]&gt;=DB_TBL_DATA_FIELDS[[#This Row],[RANGE_VALIDATION_MIN]],DB_TBL_DATA_FIELDS[[#This Row],[RANGE_VALUE_LEN]]&lt;=DB_TBL_DATA_FIELDS[[#This Row],[RANGE_VALIDATION_MAX]]))</f>
        <v>1</v>
      </c>
      <c r="X238" s="8">
        <v>1</v>
      </c>
      <c r="Y238" s="8" t="str">
        <f ca="1">IF(DB_TBL_DATA_FIELDS[[#This Row],[PCT_CALC_SHOW_STATUS_CODE]]=1,
DB_TBL_DATA_FIELDS[[#This Row],[FIELD_STATUS_CODE]],
IF(AND(DB_TBL_DATA_FIELDS[[#This Row],[PCT_CALC_SHOW_STATUS_CODE]]=2,DB_TBL_DATA_FIELDS[[#This Row],[FIELD_STATUS_CODE]]=0),
DB_TBL_DATA_FIELDS[[#This Row],[FIELD_STATUS_CODE]],
"")
)</f>
        <v/>
      </c>
      <c r="Z238" s="8"/>
      <c r="AA238" s="11" t="s">
        <v>2957</v>
      </c>
      <c r="AB238" s="11" t="s">
        <v>2931</v>
      </c>
      <c r="AC238" s="8"/>
    </row>
    <row r="239" spans="1:29" ht="13.5" thickBot="1" x14ac:dyDescent="0.25">
      <c r="A239" s="67" t="s">
        <v>65</v>
      </c>
      <c r="B239" s="67" t="s">
        <v>64</v>
      </c>
      <c r="C239" s="68" t="str">
        <f ca="1">IF($H$10&lt;&gt;"R",IF(DB_TBL_DATA_FIELDS[[#This Row],[SHEET_REF_OWNER]]&lt;&gt;"",DB_TBL_DATA_FIELDS[[#This Row],[SHEET_REF_OWNER]],""),IF(DB_TBL_DATA_FIELDS[[#This Row],[SHEET_REF_RENTAL]]&lt;&gt;"",DB_TBL_DATA_FIELDS[[#This Row],[SHEET_REF_RENTAL]],""))</f>
        <v>RentalApp</v>
      </c>
      <c r="D239" s="72" t="s">
        <v>2988</v>
      </c>
      <c r="E239" s="95" t="b">
        <v>1</v>
      </c>
      <c r="F239" s="80" t="b">
        <f t="shared" ca="1" si="5"/>
        <v>1</v>
      </c>
      <c r="G239" s="72" t="s">
        <v>2989</v>
      </c>
      <c r="H239" s="73" t="str">
        <f ca="1">IFERROR(VLOOKUP(DB_TBL_DATA_FIELDS[[#This Row],[FIELD_ID]],INDIRECT(DB_TBL_DATA_FIELDS[[#This Row],[SHEET_REF_CALC]]&amp;"!A:B"),2,FALSE),"")</f>
        <v/>
      </c>
      <c r="I239" s="76" t="str">
        <f ca="1">IF(DB_TBL_DATA_FIELDS[[#This Row],[FIELD_EMPTY_FLAG]],"",IF(SPONSOR_CERTIFICATION_INDICATOR=FALSE,FALSE,""))</f>
        <v/>
      </c>
      <c r="J239" s="72" t="b">
        <f ca="1">(DB_TBL_DATA_FIELDS[[#This Row],[FIELD_VALUE_RAW]]="")</f>
        <v>1</v>
      </c>
      <c r="K239" s="72" t="s">
        <v>11</v>
      </c>
      <c r="L239" s="68" t="b">
        <f ca="1">AND(IF(DB_TBL_DATA_FIELDS[[#This Row],[FIELD_VALID_CUSTOM_LOGIC]]="",TRUE,DB_TBL_DATA_FIELDS[[#This Row],[FIELD_VALID_CUSTOM_LOGIC]]),DB_TBL_DATA_FIELDS[[#This Row],[RANGE_VALIDATION_PASSED_FLAG]])</f>
        <v>1</v>
      </c>
      <c r="M239" s="7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39" s="68">
        <f ca="1">IF(DB_TBL_DATA_FIELDS[[#This Row],[SHEET_REF_CALC]]="","",IF(DB_TBL_DATA_FIELDS[[#This Row],[FIELD_EMPTY_FLAG]],IF(NOT(DB_TBL_DATA_FIELDS[[#This Row],[FIELD_REQ_FLAG]]),-1,1),IF(NOT(DB_TBL_DATA_FIELDS[[#This Row],[FIELD_VALID_FLAG]]),0,2)))</f>
        <v>1</v>
      </c>
      <c r="O239" s="68" t="str">
        <f ca="1">IFERROR(VLOOKUP(DB_TBL_DATA_FIELDS[[#This Row],[FIELD_STATUS_CODE]],DB_TBL_CONFIG_FIELDSTATUSCODES[#All],3,FALSE),"")</f>
        <v>Required</v>
      </c>
      <c r="P239" s="68" t="str">
        <f ca="1">IFERROR(VLOOKUP(DB_TBL_DATA_FIELDS[[#This Row],[FIELD_STATUS_CODE]],DB_TBL_CONFIG_FIELDSTATUSCODES[#All],4,FALSE),"")</f>
        <v>i</v>
      </c>
      <c r="Q239" s="68" t="b">
        <f>TRUE</f>
        <v>1</v>
      </c>
      <c r="R239" s="68" t="b">
        <f>TRUE</f>
        <v>1</v>
      </c>
      <c r="S239" s="67" t="s">
        <v>11</v>
      </c>
      <c r="T239" s="68">
        <f ca="1">IF(DB_TBL_DATA_FIELDS[[#This Row],[RANGE_VALIDATION_FLAG]]="Text",LEN(DB_TBL_DATA_FIELDS[[#This Row],[FIELD_VALUE_RAW]]),IFERROR(VALUE(DB_TBL_DATA_FIELDS[[#This Row],[FIELD_VALUE_RAW]]),-1))</f>
        <v>0</v>
      </c>
      <c r="U239" s="68">
        <v>0</v>
      </c>
      <c r="V239" s="68">
        <v>100</v>
      </c>
      <c r="W239" s="68" t="b">
        <f ca="1">IF(NOT(DB_TBL_DATA_FIELDS[[#This Row],[RANGE_VALIDATION_ON_FLAG]]),TRUE,
AND(DB_TBL_DATA_FIELDS[[#This Row],[RANGE_VALUE_LEN]]&gt;=DB_TBL_DATA_FIELDS[[#This Row],[RANGE_VALIDATION_MIN]],DB_TBL_DATA_FIELDS[[#This Row],[RANGE_VALUE_LEN]]&lt;=DB_TBL_DATA_FIELDS[[#This Row],[RANGE_VALIDATION_MAX]]))</f>
        <v>1</v>
      </c>
      <c r="X239" s="68">
        <v>1</v>
      </c>
      <c r="Y239" s="68">
        <f ca="1">IF(DB_TBL_DATA_FIELDS[[#This Row],[PCT_CALC_SHOW_STATUS_CODE]]=1,
DB_TBL_DATA_FIELDS[[#This Row],[FIELD_STATUS_CODE]],
IF(AND(DB_TBL_DATA_FIELDS[[#This Row],[PCT_CALC_SHOW_STATUS_CODE]]=2,DB_TBL_DATA_FIELDS[[#This Row],[FIELD_STATUS_CODE]]=0),
DB_TBL_DATA_FIELDS[[#This Row],[FIELD_STATUS_CODE]],
"")
)</f>
        <v>1</v>
      </c>
      <c r="Z239" s="68"/>
      <c r="AA239" s="73" t="s">
        <v>2958</v>
      </c>
      <c r="AB239" s="73" t="s">
        <v>2931</v>
      </c>
      <c r="AC239" s="68"/>
    </row>
    <row r="240" spans="1:29" x14ac:dyDescent="0.2">
      <c r="A240" s="4" t="s">
        <v>65</v>
      </c>
      <c r="B240" s="4" t="s">
        <v>64</v>
      </c>
      <c r="C240" s="8" t="str">
        <f ca="1">IF($H$10&lt;&gt;"R",IF(DB_TBL_DATA_FIELDS[[#This Row],[SHEET_REF_OWNER]]&lt;&gt;"",DB_TBL_DATA_FIELDS[[#This Row],[SHEET_REF_OWNER]],""),IF(DB_TBL_DATA_FIELDS[[#This Row],[SHEET_REF_RENTAL]]&lt;&gt;"",DB_TBL_DATA_FIELDS[[#This Row],[SHEET_REF_RENTAL]],""))</f>
        <v>RentalApp</v>
      </c>
      <c r="D240" s="1" t="s">
        <v>3027</v>
      </c>
      <c r="E240" s="91" t="b">
        <v>1</v>
      </c>
      <c r="F240" s="23" t="b">
        <v>1</v>
      </c>
      <c r="G240" s="2" t="s">
        <v>3029</v>
      </c>
      <c r="H240" s="10" t="str">
        <f ca="1">IFERROR(VLOOKUP(DB_TBL_DATA_FIELDS[[#This Row],[FIELD_ID]],INDIRECT(DB_TBL_DATA_FIELDS[[#This Row],[SHEET_REF_CALC]]&amp;"!A:B"),2,FALSE),"")</f>
        <v/>
      </c>
      <c r="I240" s="29" t="str">
        <f ca="1">IF(DB_TBL_DATA_FIELDS[[#This Row],[FIELD_EMPTY_FLAG]],"",DB_TBL_DATA_FIELDS[[#This Row],[FIELD_VALUE_RAW]]&lt;=DATA_TOTAL_UNITS)</f>
        <v/>
      </c>
      <c r="J240" s="2" t="b">
        <f ca="1">(DB_TBL_DATA_FIELDS[[#This Row],[FIELD_VALUE_RAW]]="")</f>
        <v>1</v>
      </c>
      <c r="K240" s="2" t="s">
        <v>62</v>
      </c>
      <c r="L240" s="7" t="b">
        <f ca="1">AND(IF(DB_TBL_DATA_FIELDS[[#This Row],[FIELD_VALID_CUSTOM_LOGIC]]="",TRUE,DB_TBL_DATA_FIELDS[[#This Row],[FIELD_VALID_CUSTOM_LOGIC]]),DB_TBL_DATA_FIELDS[[#This Row],[RANGE_VALIDATION_PASSED_FLAG]])</f>
        <v>0</v>
      </c>
      <c r="M240"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40" s="7">
        <f ca="1">IF(DB_TBL_DATA_FIELDS[[#This Row],[SHEET_REF_CALC]]="","",IF(DB_TBL_DATA_FIELDS[[#This Row],[FIELD_EMPTY_FLAG]],IF(NOT(DB_TBL_DATA_FIELDS[[#This Row],[FIELD_REQ_FLAG]]),-1,1),IF(NOT(DB_TBL_DATA_FIELDS[[#This Row],[FIELD_VALID_FLAG]]),0,2)))</f>
        <v>1</v>
      </c>
      <c r="O240" s="7" t="str">
        <f ca="1">IFERROR(VLOOKUP(DB_TBL_DATA_FIELDS[[#This Row],[FIELD_STATUS_CODE]],DB_TBL_CONFIG_FIELDSTATUSCODES[#All],3,FALSE),"")</f>
        <v>Required</v>
      </c>
      <c r="P240" s="7" t="str">
        <f ca="1">IFERROR(VLOOKUP(DB_TBL_DATA_FIELDS[[#This Row],[FIELD_STATUS_CODE]],DB_TBL_CONFIG_FIELDSTATUSCODES[#All],4,FALSE),"")</f>
        <v>i</v>
      </c>
      <c r="Q240" s="7" t="b">
        <f>TRUE</f>
        <v>1</v>
      </c>
      <c r="R240" s="7" t="b">
        <f>TRUE</f>
        <v>1</v>
      </c>
      <c r="S240" s="1" t="s">
        <v>62</v>
      </c>
      <c r="T240" s="7">
        <f ca="1">IF(DB_TBL_DATA_FIELDS[[#This Row],[RANGE_VALIDATION_FLAG]]="Text",LEN(DB_TBL_DATA_FIELDS[[#This Row],[FIELD_VALUE_RAW]]),IFERROR(VALUE(DB_TBL_DATA_FIELDS[[#This Row],[FIELD_VALUE_RAW]]),-1))</f>
        <v>-1</v>
      </c>
      <c r="U240" s="7">
        <v>0</v>
      </c>
      <c r="V240" s="8">
        <v>999999999999</v>
      </c>
      <c r="W240" s="7" t="b">
        <f ca="1">IF(NOT(DB_TBL_DATA_FIELDS[[#This Row],[RANGE_VALIDATION_ON_FLAG]]),TRUE,
AND(DB_TBL_DATA_FIELDS[[#This Row],[RANGE_VALUE_LEN]]&gt;=DB_TBL_DATA_FIELDS[[#This Row],[RANGE_VALIDATION_MIN]],DB_TBL_DATA_FIELDS[[#This Row],[RANGE_VALUE_LEN]]&lt;=DB_TBL_DATA_FIELDS[[#This Row],[RANGE_VALIDATION_MAX]]))</f>
        <v>0</v>
      </c>
      <c r="X240" s="7">
        <v>1</v>
      </c>
      <c r="Y240" s="7">
        <f ca="1">IF(DB_TBL_DATA_FIELDS[[#This Row],[PCT_CALC_SHOW_STATUS_CODE]]=1,
DB_TBL_DATA_FIELDS[[#This Row],[FIELD_STATUS_CODE]],
IF(AND(DB_TBL_DATA_FIELDS[[#This Row],[PCT_CALC_SHOW_STATUS_CODE]]=2,DB_TBL_DATA_FIELDS[[#This Row],[FIELD_STATUS_CODE]]=0),
DB_TBL_DATA_FIELDS[[#This Row],[FIELD_STATUS_CODE]],
"")
)</f>
        <v>1</v>
      </c>
      <c r="Z240" s="101" t="str">
        <f ca="1">IF(DB_TBL_DATA_FIELDS[[#This Row],[FIELD_VALID_CUSTOM_LOGIC]]="","",IF(NOT(DB_TBL_DATA_FIELDS[[#This Row],[FIELD_VALID_CUSTOM_LOGIC]]),"Exceeds Total Project Units",""))</f>
        <v/>
      </c>
      <c r="AA240" s="10" t="s">
        <v>3025</v>
      </c>
      <c r="AB240" s="10" t="s">
        <v>3024</v>
      </c>
      <c r="AC240" s="7"/>
    </row>
    <row r="241" spans="1:29" ht="13.5" thickBot="1" x14ac:dyDescent="0.25">
      <c r="A241" s="67" t="s">
        <v>65</v>
      </c>
      <c r="B241" s="67" t="s">
        <v>64</v>
      </c>
      <c r="C241" s="68" t="str">
        <f ca="1">IF($H$10&lt;&gt;"R",IF(DB_TBL_DATA_FIELDS[[#This Row],[SHEET_REF_OWNER]]&lt;&gt;"",DB_TBL_DATA_FIELDS[[#This Row],[SHEET_REF_OWNER]],""),IF(DB_TBL_DATA_FIELDS[[#This Row],[SHEET_REF_RENTAL]]&lt;&gt;"",DB_TBL_DATA_FIELDS[[#This Row],[SHEET_REF_RENTAL]],""))</f>
        <v>RentalApp</v>
      </c>
      <c r="D241" s="67" t="s">
        <v>3028</v>
      </c>
      <c r="E241" s="67" t="b">
        <v>0</v>
      </c>
      <c r="F241" s="80" t="b">
        <f ca="1">AND(H240&gt;0,NOT(J240))</f>
        <v>0</v>
      </c>
      <c r="G241" s="72" t="s">
        <v>3030</v>
      </c>
      <c r="H241" s="73" t="str">
        <f ca="1">IFERROR(VLOOKUP(DB_TBL_DATA_FIELDS[[#This Row],[FIELD_ID]],INDIRECT(DB_TBL_DATA_FIELDS[[#This Row],[SHEET_REF_CALC]]&amp;"!A:B"),2,FALSE),"")</f>
        <v/>
      </c>
      <c r="I241" s="76" t="str">
        <f ca="1">IF(DB_TBL_DATA_FIELDS[[#This Row],[FIELD_EMPTY_FLAG]],"",AND(H240&gt;0,NOT(J240)))</f>
        <v/>
      </c>
      <c r="J241" s="72" t="b">
        <f ca="1">(DB_TBL_DATA_FIELDS[[#This Row],[FIELD_VALUE_RAW]]="")</f>
        <v>1</v>
      </c>
      <c r="K241" s="72" t="s">
        <v>11</v>
      </c>
      <c r="L241" s="68" t="b">
        <f ca="1">AND(IF(DB_TBL_DATA_FIELDS[[#This Row],[FIELD_VALID_CUSTOM_LOGIC]]="",TRUE,DB_TBL_DATA_FIELDS[[#This Row],[FIELD_VALID_CUSTOM_LOGIC]]),DB_TBL_DATA_FIELDS[[#This Row],[RANGE_VALIDATION_PASSED_FLAG]])</f>
        <v>1</v>
      </c>
      <c r="M241" s="7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41" s="68">
        <f ca="1">IF(DB_TBL_DATA_FIELDS[[#This Row],[SHEET_REF_CALC]]="","",IF(DB_TBL_DATA_FIELDS[[#This Row],[FIELD_EMPTY_FLAG]],IF(NOT(DB_TBL_DATA_FIELDS[[#This Row],[FIELD_REQ_FLAG]]),-1,1),IF(NOT(DB_TBL_DATA_FIELDS[[#This Row],[FIELD_VALID_FLAG]]),0,2)))</f>
        <v>-1</v>
      </c>
      <c r="O241" s="68" t="str">
        <f ca="1">IFERROR(VLOOKUP(DB_TBL_DATA_FIELDS[[#This Row],[FIELD_STATUS_CODE]],DB_TBL_CONFIG_FIELDSTATUSCODES[#All],3,FALSE),"")</f>
        <v>Optional</v>
      </c>
      <c r="P241" s="68" t="str">
        <f ca="1">IFERROR(VLOOKUP(DB_TBL_DATA_FIELDS[[#This Row],[FIELD_STATUS_CODE]],DB_TBL_CONFIG_FIELDSTATUSCODES[#All],4,FALSE),"")</f>
        <v xml:space="preserve"> </v>
      </c>
      <c r="Q241" s="68" t="b">
        <f>TRUE</f>
        <v>1</v>
      </c>
      <c r="R241" s="68" t="b">
        <f>TRUE</f>
        <v>1</v>
      </c>
      <c r="S241" s="67" t="s">
        <v>11</v>
      </c>
      <c r="T241" s="68">
        <f ca="1">IF(DB_TBL_DATA_FIELDS[[#This Row],[RANGE_VALIDATION_FLAG]]="Text",LEN(DB_TBL_DATA_FIELDS[[#This Row],[FIELD_VALUE_RAW]]),IFERROR(VALUE(DB_TBL_DATA_FIELDS[[#This Row],[FIELD_VALUE_RAW]]),-1))</f>
        <v>0</v>
      </c>
      <c r="U241" s="68">
        <v>0</v>
      </c>
      <c r="V241" s="101">
        <f>CONFIG_CHAR_LIMIT_LARGE</f>
        <v>2000</v>
      </c>
      <c r="W241" s="68" t="b">
        <f ca="1">IF(NOT(DB_TBL_DATA_FIELDS[[#This Row],[RANGE_VALIDATION_ON_FLAG]]),TRUE,
AND(DB_TBL_DATA_FIELDS[[#This Row],[RANGE_VALUE_LEN]]&gt;=DB_TBL_DATA_FIELDS[[#This Row],[RANGE_VALIDATION_MIN]],DB_TBL_DATA_FIELDS[[#This Row],[RANGE_VALUE_LEN]]&lt;=DB_TBL_DATA_FIELDS[[#This Row],[RANGE_VALIDATION_MAX]]))</f>
        <v>1</v>
      </c>
      <c r="X241" s="68">
        <v>1</v>
      </c>
      <c r="Y241" s="68">
        <f ca="1">IF(DB_TBL_DATA_FIELDS[[#This Row],[PCT_CALC_SHOW_STATUS_CODE]]=1,
DB_TBL_DATA_FIELDS[[#This Row],[FIELD_STATUS_CODE]],
IF(AND(DB_TBL_DATA_FIELDS[[#This Row],[PCT_CALC_SHOW_STATUS_CODE]]=2,DB_TBL_DATA_FIELDS[[#This Row],[FIELD_STATUS_CODE]]=0),
DB_TBL_DATA_FIELDS[[#This Row],[FIELD_STATUS_CODE]],
"")
)</f>
        <v>-1</v>
      </c>
      <c r="Z241" s="68"/>
      <c r="AA241" s="73" t="s">
        <v>3026</v>
      </c>
      <c r="AB241" s="73" t="s">
        <v>3024</v>
      </c>
      <c r="AC241" s="68"/>
    </row>
    <row r="242" spans="1:29" x14ac:dyDescent="0.2">
      <c r="A242" s="4" t="s">
        <v>65</v>
      </c>
      <c r="B242" s="4" t="s">
        <v>64</v>
      </c>
      <c r="C242" s="8" t="str">
        <f ca="1">IF($H$10&lt;&gt;"R",IF(DB_TBL_DATA_FIELDS[[#This Row],[SHEET_REF_OWNER]]&lt;&gt;"",DB_TBL_DATA_FIELDS[[#This Row],[SHEET_REF_OWNER]],""),IF(DB_TBL_DATA_FIELDS[[#This Row],[SHEET_REF_RENTAL]]&lt;&gt;"",DB_TBL_DATA_FIELDS[[#This Row],[SHEET_REF_RENTAL]],""))</f>
        <v>RentalApp</v>
      </c>
      <c r="D242" s="1" t="s">
        <v>3041</v>
      </c>
      <c r="E242" s="91" t="b">
        <v>1</v>
      </c>
      <c r="F242" s="23" t="b">
        <v>1</v>
      </c>
      <c r="G242" s="2" t="s">
        <v>3049</v>
      </c>
      <c r="H242" s="10" t="str">
        <f ca="1">IFERROR(VLOOKUP(DB_TBL_DATA_FIELDS[[#This Row],[FIELD_ID]],INDIRECT(DB_TBL_DATA_FIELDS[[#This Row],[SHEET_REF_CALC]]&amp;"!A:B"),2,FALSE),"")</f>
        <v/>
      </c>
      <c r="I242" s="10"/>
      <c r="J242" s="2" t="b">
        <f ca="1">(DB_TBL_DATA_FIELDS[[#This Row],[FIELD_VALUE_RAW]]="")</f>
        <v>1</v>
      </c>
      <c r="K242" s="2" t="s">
        <v>209</v>
      </c>
      <c r="L242" s="7" t="b">
        <f>AND(IF(DB_TBL_DATA_FIELDS[[#This Row],[FIELD_VALID_CUSTOM_LOGIC]]="",TRUE,DB_TBL_DATA_FIELDS[[#This Row],[FIELD_VALID_CUSTOM_LOGIC]]),DB_TBL_DATA_FIELDS[[#This Row],[RANGE_VALIDATION_PASSED_FLAG]])</f>
        <v>1</v>
      </c>
      <c r="M242"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42" s="7">
        <f ca="1">IF(DB_TBL_DATA_FIELDS[[#This Row],[SHEET_REF_CALC]]="","",IF(DB_TBL_DATA_FIELDS[[#This Row],[FIELD_EMPTY_FLAG]],IF(NOT(DB_TBL_DATA_FIELDS[[#This Row],[FIELD_REQ_FLAG]]),-1,1),IF(NOT(DB_TBL_DATA_FIELDS[[#This Row],[FIELD_VALID_FLAG]]),0,2)))</f>
        <v>1</v>
      </c>
      <c r="O242" s="7" t="str">
        <f ca="1">IFERROR(VLOOKUP(DB_TBL_DATA_FIELDS[[#This Row],[FIELD_STATUS_CODE]],DB_TBL_CONFIG_FIELDSTATUSCODES[#All],3,FALSE),"")</f>
        <v>Required</v>
      </c>
      <c r="P242" s="7" t="str">
        <f ca="1">IFERROR(VLOOKUP(DB_TBL_DATA_FIELDS[[#This Row],[FIELD_STATUS_CODE]],DB_TBL_CONFIG_FIELDSTATUSCODES[#All],4,FALSE),"")</f>
        <v>i</v>
      </c>
      <c r="Q242" s="7" t="b">
        <f>TRUE</f>
        <v>1</v>
      </c>
      <c r="R242" s="7" t="b">
        <v>0</v>
      </c>
      <c r="T242" s="7">
        <f ca="1">IF(DB_TBL_DATA_FIELDS[[#This Row],[RANGE_VALIDATION_FLAG]]="Text",LEN(DB_TBL_DATA_FIELDS[[#This Row],[FIELD_VALUE_RAW]]),IFERROR(VALUE(DB_TBL_DATA_FIELDS[[#This Row],[FIELD_VALUE_RAW]]),-1))</f>
        <v>-1</v>
      </c>
      <c r="U242" s="8">
        <v>0</v>
      </c>
      <c r="V242" s="8">
        <v>1</v>
      </c>
      <c r="W242" s="7" t="b">
        <f>IF(NOT(DB_TBL_DATA_FIELDS[[#This Row],[RANGE_VALIDATION_ON_FLAG]]),TRUE,
AND(DB_TBL_DATA_FIELDS[[#This Row],[RANGE_VALUE_LEN]]&gt;=DB_TBL_DATA_FIELDS[[#This Row],[RANGE_VALIDATION_MIN]],DB_TBL_DATA_FIELDS[[#This Row],[RANGE_VALUE_LEN]]&lt;=DB_TBL_DATA_FIELDS[[#This Row],[RANGE_VALIDATION_MAX]]))</f>
        <v>1</v>
      </c>
      <c r="X242" s="7">
        <v>1</v>
      </c>
      <c r="Y242" s="7">
        <f ca="1">IF(DB_TBL_DATA_FIELDS[[#This Row],[PCT_CALC_SHOW_STATUS_CODE]]=1,
DB_TBL_DATA_FIELDS[[#This Row],[FIELD_STATUS_CODE]],
IF(AND(DB_TBL_DATA_FIELDS[[#This Row],[PCT_CALC_SHOW_STATUS_CODE]]=2,DB_TBL_DATA_FIELDS[[#This Row],[FIELD_STATUS_CODE]]=0),
DB_TBL_DATA_FIELDS[[#This Row],[FIELD_STATUS_CODE]],
"")
)</f>
        <v>1</v>
      </c>
      <c r="Z242" s="7"/>
      <c r="AA242" s="10" t="s">
        <v>3033</v>
      </c>
      <c r="AB242" s="10" t="s">
        <v>3032</v>
      </c>
      <c r="AC242" s="7"/>
    </row>
    <row r="243" spans="1:29" x14ac:dyDescent="0.2">
      <c r="A243" s="4"/>
      <c r="B243" s="4" t="s">
        <v>64</v>
      </c>
      <c r="C243" s="8" t="str">
        <f ca="1">IF($H$10&lt;&gt;"R",IF(DB_TBL_DATA_FIELDS[[#This Row],[SHEET_REF_OWNER]]&lt;&gt;"",DB_TBL_DATA_FIELDS[[#This Row],[SHEET_REF_OWNER]],""),IF(DB_TBL_DATA_FIELDS[[#This Row],[SHEET_REF_RENTAL]]&lt;&gt;"",DB_TBL_DATA_FIELDS[[#This Row],[SHEET_REF_RENTAL]],""))</f>
        <v>RentalApp</v>
      </c>
      <c r="D243" s="370" t="s">
        <v>3043</v>
      </c>
      <c r="E243" s="91" t="b">
        <v>1</v>
      </c>
      <c r="F243" s="117" t="b">
        <v>0</v>
      </c>
      <c r="G243" s="116" t="s">
        <v>3050</v>
      </c>
      <c r="H243" s="120"/>
      <c r="I243" s="10"/>
      <c r="J243" s="2" t="b">
        <f>(DB_TBL_DATA_FIELDS[[#This Row],[FIELD_VALUE_RAW]]="")</f>
        <v>1</v>
      </c>
      <c r="K243" s="2" t="s">
        <v>209</v>
      </c>
      <c r="L243" s="7" t="b">
        <f>AND(IF(DB_TBL_DATA_FIELDS[[#This Row],[FIELD_VALID_CUSTOM_LOGIC]]="",TRUE,DB_TBL_DATA_FIELDS[[#This Row],[FIELD_VALID_CUSTOM_LOGIC]]),DB_TBL_DATA_FIELDS[[#This Row],[RANGE_VALIDATION_PASSED_FLAG]])</f>
        <v>1</v>
      </c>
      <c r="M243" s="10"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43" s="7">
        <f ca="1">IF(DB_TBL_DATA_FIELDS[[#This Row],[SHEET_REF_CALC]]="","",IF(DB_TBL_DATA_FIELDS[[#This Row],[FIELD_EMPTY_FLAG]],IF(NOT(DB_TBL_DATA_FIELDS[[#This Row],[FIELD_REQ_FLAG]]),-1,1),IF(NOT(DB_TBL_DATA_FIELDS[[#This Row],[FIELD_VALID_FLAG]]),0,2)))</f>
        <v>-1</v>
      </c>
      <c r="O243" s="7" t="str">
        <f ca="1">IFERROR(VLOOKUP(DB_TBL_DATA_FIELDS[[#This Row],[FIELD_STATUS_CODE]],DB_TBL_CONFIG_FIELDSTATUSCODES[#All],3,FALSE),"")</f>
        <v>Optional</v>
      </c>
      <c r="P243" s="7" t="str">
        <f ca="1">IFERROR(VLOOKUP(DB_TBL_DATA_FIELDS[[#This Row],[FIELD_STATUS_CODE]],DB_TBL_CONFIG_FIELDSTATUSCODES[#All],4,FALSE),"")</f>
        <v xml:space="preserve"> </v>
      </c>
      <c r="Q243" s="7" t="b">
        <f>TRUE</f>
        <v>1</v>
      </c>
      <c r="R243" s="7" t="b">
        <v>0</v>
      </c>
      <c r="T243" s="7">
        <f>IF(DB_TBL_DATA_FIELDS[[#This Row],[RANGE_VALIDATION_FLAG]]="Text",LEN(DB_TBL_DATA_FIELDS[[#This Row],[FIELD_VALUE_RAW]]),IFERROR(VALUE(DB_TBL_DATA_FIELDS[[#This Row],[FIELD_VALUE_RAW]]),-1))</f>
        <v>0</v>
      </c>
      <c r="U243" s="8">
        <v>0</v>
      </c>
      <c r="V243" s="8">
        <v>1</v>
      </c>
      <c r="W243" s="7" t="b">
        <f>IF(NOT(DB_TBL_DATA_FIELDS[[#This Row],[RANGE_VALIDATION_ON_FLAG]]),TRUE,
AND(DB_TBL_DATA_FIELDS[[#This Row],[RANGE_VALUE_LEN]]&gt;=DB_TBL_DATA_FIELDS[[#This Row],[RANGE_VALIDATION_MIN]],DB_TBL_DATA_FIELDS[[#This Row],[RANGE_VALUE_LEN]]&lt;=DB_TBL_DATA_FIELDS[[#This Row],[RANGE_VALIDATION_MAX]]))</f>
        <v>1</v>
      </c>
      <c r="X243" s="7">
        <v>1</v>
      </c>
      <c r="Y243" s="7">
        <f ca="1">IF(DB_TBL_DATA_FIELDS[[#This Row],[PCT_CALC_SHOW_STATUS_CODE]]=1,
DB_TBL_DATA_FIELDS[[#This Row],[FIELD_STATUS_CODE]],
IF(AND(DB_TBL_DATA_FIELDS[[#This Row],[PCT_CALC_SHOW_STATUS_CODE]]=2,DB_TBL_DATA_FIELDS[[#This Row],[FIELD_STATUS_CODE]]=0),
DB_TBL_DATA_FIELDS[[#This Row],[FIELD_STATUS_CODE]],
"")
)</f>
        <v>-1</v>
      </c>
      <c r="Z243" s="7"/>
      <c r="AA243" s="10" t="s">
        <v>3034</v>
      </c>
      <c r="AB243" s="10" t="s">
        <v>3032</v>
      </c>
      <c r="AC243" s="7"/>
    </row>
    <row r="244" spans="1:29" x14ac:dyDescent="0.2">
      <c r="A244" s="4" t="s">
        <v>65</v>
      </c>
      <c r="B244" s="4"/>
      <c r="C244" s="8" t="str">
        <f ca="1">IF($H$10&lt;&gt;"R",IF(DB_TBL_DATA_FIELDS[[#This Row],[SHEET_REF_OWNER]]&lt;&gt;"",DB_TBL_DATA_FIELDS[[#This Row],[SHEET_REF_OWNER]],""),IF(DB_TBL_DATA_FIELDS[[#This Row],[SHEET_REF_RENTAL]]&lt;&gt;"",DB_TBL_DATA_FIELDS[[#This Row],[SHEET_REF_RENTAL]],""))</f>
        <v/>
      </c>
      <c r="D244" s="89" t="s">
        <v>3042</v>
      </c>
      <c r="E244" s="91" t="b">
        <v>1</v>
      </c>
      <c r="F244" s="23" t="b">
        <v>1</v>
      </c>
      <c r="G244" s="2" t="s">
        <v>3051</v>
      </c>
      <c r="H244" s="10" t="str">
        <f ca="1">IFERROR(VLOOKUP(DB_TBL_DATA_FIELDS[[#This Row],[FIELD_ID]],INDIRECT(DB_TBL_DATA_FIELDS[[#This Row],[SHEET_REF_CALC]]&amp;"!A:B"),2,FALSE),"")</f>
        <v/>
      </c>
      <c r="I244" s="10"/>
      <c r="J244" s="2" t="b">
        <f ca="1">(DB_TBL_DATA_FIELDS[[#This Row],[FIELD_VALUE_RAW]]="")</f>
        <v>1</v>
      </c>
      <c r="K244" s="2" t="s">
        <v>209</v>
      </c>
      <c r="L244" s="7" t="b">
        <f>AND(IF(DB_TBL_DATA_FIELDS[[#This Row],[FIELD_VALID_CUSTOM_LOGIC]]="",TRUE,DB_TBL_DATA_FIELDS[[#This Row],[FIELD_VALID_CUSTOM_LOGIC]]),DB_TBL_DATA_FIELDS[[#This Row],[RANGE_VALIDATION_PASSED_FLAG]])</f>
        <v>1</v>
      </c>
      <c r="M244"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44" s="7" t="str">
        <f ca="1">IF(DB_TBL_DATA_FIELDS[[#This Row],[SHEET_REF_CALC]]="","",IF(DB_TBL_DATA_FIELDS[[#This Row],[FIELD_EMPTY_FLAG]],IF(NOT(DB_TBL_DATA_FIELDS[[#This Row],[FIELD_REQ_FLAG]]),-1,1),IF(NOT(DB_TBL_DATA_FIELDS[[#This Row],[FIELD_VALID_FLAG]]),0,2)))</f>
        <v/>
      </c>
      <c r="O244" s="7" t="str">
        <f ca="1">IFERROR(VLOOKUP(DB_TBL_DATA_FIELDS[[#This Row],[FIELD_STATUS_CODE]],DB_TBL_CONFIG_FIELDSTATUSCODES[#All],3,FALSE),"")</f>
        <v/>
      </c>
      <c r="P244" s="7" t="str">
        <f ca="1">IFERROR(VLOOKUP(DB_TBL_DATA_FIELDS[[#This Row],[FIELD_STATUS_CODE]],DB_TBL_CONFIG_FIELDSTATUSCODES[#All],4,FALSE),"")</f>
        <v/>
      </c>
      <c r="Q244" s="7" t="b">
        <f>TRUE</f>
        <v>1</v>
      </c>
      <c r="R244" s="7" t="b">
        <v>0</v>
      </c>
      <c r="T244" s="7">
        <f ca="1">IF(DB_TBL_DATA_FIELDS[[#This Row],[RANGE_VALIDATION_FLAG]]="Text",LEN(DB_TBL_DATA_FIELDS[[#This Row],[FIELD_VALUE_RAW]]),IFERROR(VALUE(DB_TBL_DATA_FIELDS[[#This Row],[FIELD_VALUE_RAW]]),-1))</f>
        <v>-1</v>
      </c>
      <c r="U244" s="8">
        <v>0</v>
      </c>
      <c r="V244" s="8">
        <v>1</v>
      </c>
      <c r="W244" s="7" t="b">
        <f>IF(NOT(DB_TBL_DATA_FIELDS[[#This Row],[RANGE_VALIDATION_ON_FLAG]]),TRUE,
AND(DB_TBL_DATA_FIELDS[[#This Row],[RANGE_VALUE_LEN]]&gt;=DB_TBL_DATA_FIELDS[[#This Row],[RANGE_VALIDATION_MIN]],DB_TBL_DATA_FIELDS[[#This Row],[RANGE_VALUE_LEN]]&lt;=DB_TBL_DATA_FIELDS[[#This Row],[RANGE_VALIDATION_MAX]]))</f>
        <v>1</v>
      </c>
      <c r="X244" s="7">
        <v>1</v>
      </c>
      <c r="Y244" s="7" t="str">
        <f ca="1">IF(DB_TBL_DATA_FIELDS[[#This Row],[PCT_CALC_SHOW_STATUS_CODE]]=1,
DB_TBL_DATA_FIELDS[[#This Row],[FIELD_STATUS_CODE]],
IF(AND(DB_TBL_DATA_FIELDS[[#This Row],[PCT_CALC_SHOW_STATUS_CODE]]=2,DB_TBL_DATA_FIELDS[[#This Row],[FIELD_STATUS_CODE]]=0),
DB_TBL_DATA_FIELDS[[#This Row],[FIELD_STATUS_CODE]],
"")
)</f>
        <v/>
      </c>
      <c r="Z244" s="7"/>
      <c r="AA244" s="10" t="s">
        <v>3035</v>
      </c>
      <c r="AB244" s="10" t="s">
        <v>3032</v>
      </c>
      <c r="AC244" s="7"/>
    </row>
    <row r="245" spans="1:29" x14ac:dyDescent="0.2">
      <c r="A245" s="4" t="s">
        <v>65</v>
      </c>
      <c r="B245" s="4"/>
      <c r="C245" s="8" t="str">
        <f ca="1">IF($H$10&lt;&gt;"R",IF(DB_TBL_DATA_FIELDS[[#This Row],[SHEET_REF_OWNER]]&lt;&gt;"",DB_TBL_DATA_FIELDS[[#This Row],[SHEET_REF_OWNER]],""),IF(DB_TBL_DATA_FIELDS[[#This Row],[SHEET_REF_RENTAL]]&lt;&gt;"",DB_TBL_DATA_FIELDS[[#This Row],[SHEET_REF_RENTAL]],""))</f>
        <v/>
      </c>
      <c r="D245" s="89" t="s">
        <v>3047</v>
      </c>
      <c r="E245" s="91" t="b">
        <v>1</v>
      </c>
      <c r="F245" s="23" t="b">
        <v>1</v>
      </c>
      <c r="G245" s="2" t="s">
        <v>3052</v>
      </c>
      <c r="H245" s="10" t="str">
        <f ca="1">IFERROR(VLOOKUP(DB_TBL_DATA_FIELDS[[#This Row],[FIELD_ID]],INDIRECT(DB_TBL_DATA_FIELDS[[#This Row],[SHEET_REF_CALC]]&amp;"!A:B"),2,FALSE),"")</f>
        <v/>
      </c>
      <c r="I245" s="10"/>
      <c r="J245" s="2" t="b">
        <f ca="1">(DB_TBL_DATA_FIELDS[[#This Row],[FIELD_VALUE_RAW]]="")</f>
        <v>1</v>
      </c>
      <c r="K245" s="2" t="s">
        <v>209</v>
      </c>
      <c r="L245" s="7" t="b">
        <f>AND(IF(DB_TBL_DATA_FIELDS[[#This Row],[FIELD_VALID_CUSTOM_LOGIC]]="",TRUE,DB_TBL_DATA_FIELDS[[#This Row],[FIELD_VALID_CUSTOM_LOGIC]]),DB_TBL_DATA_FIELDS[[#This Row],[RANGE_VALIDATION_PASSED_FLAG]])</f>
        <v>1</v>
      </c>
      <c r="M245"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45" s="7" t="str">
        <f ca="1">IF(DB_TBL_DATA_FIELDS[[#This Row],[SHEET_REF_CALC]]="","",IF(DB_TBL_DATA_FIELDS[[#This Row],[FIELD_EMPTY_FLAG]],IF(NOT(DB_TBL_DATA_FIELDS[[#This Row],[FIELD_REQ_FLAG]]),-1,1),IF(NOT(DB_TBL_DATA_FIELDS[[#This Row],[FIELD_VALID_FLAG]]),0,2)))</f>
        <v/>
      </c>
      <c r="O245" s="7" t="str">
        <f ca="1">IFERROR(VLOOKUP(DB_TBL_DATA_FIELDS[[#This Row],[FIELD_STATUS_CODE]],DB_TBL_CONFIG_FIELDSTATUSCODES[#All],3,FALSE),"")</f>
        <v/>
      </c>
      <c r="P245" s="7" t="str">
        <f ca="1">IFERROR(VLOOKUP(DB_TBL_DATA_FIELDS[[#This Row],[FIELD_STATUS_CODE]],DB_TBL_CONFIG_FIELDSTATUSCODES[#All],4,FALSE),"")</f>
        <v/>
      </c>
      <c r="Q245" s="7" t="b">
        <f>TRUE</f>
        <v>1</v>
      </c>
      <c r="R245" s="7" t="b">
        <v>0</v>
      </c>
      <c r="T245" s="7">
        <f ca="1">IF(DB_TBL_DATA_FIELDS[[#This Row],[RANGE_VALIDATION_FLAG]]="Text",LEN(DB_TBL_DATA_FIELDS[[#This Row],[FIELD_VALUE_RAW]]),IFERROR(VALUE(DB_TBL_DATA_FIELDS[[#This Row],[FIELD_VALUE_RAW]]),-1))</f>
        <v>-1</v>
      </c>
      <c r="U245" s="8">
        <v>0</v>
      </c>
      <c r="V245" s="8">
        <v>1</v>
      </c>
      <c r="W245" s="7" t="b">
        <f>IF(NOT(DB_TBL_DATA_FIELDS[[#This Row],[RANGE_VALIDATION_ON_FLAG]]),TRUE,
AND(DB_TBL_DATA_FIELDS[[#This Row],[RANGE_VALUE_LEN]]&gt;=DB_TBL_DATA_FIELDS[[#This Row],[RANGE_VALIDATION_MIN]],DB_TBL_DATA_FIELDS[[#This Row],[RANGE_VALUE_LEN]]&lt;=DB_TBL_DATA_FIELDS[[#This Row],[RANGE_VALIDATION_MAX]]))</f>
        <v>1</v>
      </c>
      <c r="X245" s="7">
        <v>1</v>
      </c>
      <c r="Y245" s="7" t="str">
        <f ca="1">IF(DB_TBL_DATA_FIELDS[[#This Row],[PCT_CALC_SHOW_STATUS_CODE]]=1,
DB_TBL_DATA_FIELDS[[#This Row],[FIELD_STATUS_CODE]],
IF(AND(DB_TBL_DATA_FIELDS[[#This Row],[PCT_CALC_SHOW_STATUS_CODE]]=2,DB_TBL_DATA_FIELDS[[#This Row],[FIELD_STATUS_CODE]]=0),
DB_TBL_DATA_FIELDS[[#This Row],[FIELD_STATUS_CODE]],
"")
)</f>
        <v/>
      </c>
      <c r="Z245" s="7"/>
      <c r="AA245" s="10" t="s">
        <v>3036</v>
      </c>
      <c r="AB245" s="10" t="s">
        <v>3032</v>
      </c>
      <c r="AC245" s="7"/>
    </row>
    <row r="246" spans="1:29" x14ac:dyDescent="0.2">
      <c r="A246" s="4" t="s">
        <v>65</v>
      </c>
      <c r="B246" s="4" t="s">
        <v>64</v>
      </c>
      <c r="C246" s="8" t="str">
        <f ca="1">IF($H$10&lt;&gt;"R",IF(DB_TBL_DATA_FIELDS[[#This Row],[SHEET_REF_OWNER]]&lt;&gt;"",DB_TBL_DATA_FIELDS[[#This Row],[SHEET_REF_OWNER]],""),IF(DB_TBL_DATA_FIELDS[[#This Row],[SHEET_REF_RENTAL]]&lt;&gt;"",DB_TBL_DATA_FIELDS[[#This Row],[SHEET_REF_RENTAL]],""))</f>
        <v>RentalApp</v>
      </c>
      <c r="D246" s="1" t="s">
        <v>3044</v>
      </c>
      <c r="E246" s="91" t="b">
        <v>1</v>
      </c>
      <c r="F246" s="23" t="b">
        <v>1</v>
      </c>
      <c r="G246" s="2" t="s">
        <v>3053</v>
      </c>
      <c r="H246" s="10" t="str">
        <f ca="1">IFERROR(VLOOKUP(DB_TBL_DATA_FIELDS[[#This Row],[FIELD_ID]],INDIRECT(DB_TBL_DATA_FIELDS[[#This Row],[SHEET_REF_CALC]]&amp;"!A:B"),2,FALSE),"")</f>
        <v/>
      </c>
      <c r="I246" s="10"/>
      <c r="J246" s="2" t="b">
        <f ca="1">(DB_TBL_DATA_FIELDS[[#This Row],[FIELD_VALUE_RAW]]="")</f>
        <v>1</v>
      </c>
      <c r="K246" s="2" t="s">
        <v>209</v>
      </c>
      <c r="L246" s="7" t="b">
        <f>AND(IF(DB_TBL_DATA_FIELDS[[#This Row],[FIELD_VALID_CUSTOM_LOGIC]]="",TRUE,DB_TBL_DATA_FIELDS[[#This Row],[FIELD_VALID_CUSTOM_LOGIC]]),DB_TBL_DATA_FIELDS[[#This Row],[RANGE_VALIDATION_PASSED_FLAG]])</f>
        <v>1</v>
      </c>
      <c r="M246"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46" s="7">
        <f ca="1">IF(DB_TBL_DATA_FIELDS[[#This Row],[SHEET_REF_CALC]]="","",IF(DB_TBL_DATA_FIELDS[[#This Row],[FIELD_EMPTY_FLAG]],IF(NOT(DB_TBL_DATA_FIELDS[[#This Row],[FIELD_REQ_FLAG]]),-1,1),IF(NOT(DB_TBL_DATA_FIELDS[[#This Row],[FIELD_VALID_FLAG]]),0,2)))</f>
        <v>1</v>
      </c>
      <c r="O246" s="7" t="str">
        <f ca="1">IFERROR(VLOOKUP(DB_TBL_DATA_FIELDS[[#This Row],[FIELD_STATUS_CODE]],DB_TBL_CONFIG_FIELDSTATUSCODES[#All],3,FALSE),"")</f>
        <v>Required</v>
      </c>
      <c r="P246" s="7" t="str">
        <f ca="1">IFERROR(VLOOKUP(DB_TBL_DATA_FIELDS[[#This Row],[FIELD_STATUS_CODE]],DB_TBL_CONFIG_FIELDSTATUSCODES[#All],4,FALSE),"")</f>
        <v>i</v>
      </c>
      <c r="Q246" s="7" t="b">
        <f>TRUE</f>
        <v>1</v>
      </c>
      <c r="R246" s="7" t="b">
        <v>0</v>
      </c>
      <c r="T246" s="7">
        <f ca="1">IF(DB_TBL_DATA_FIELDS[[#This Row],[RANGE_VALIDATION_FLAG]]="Text",LEN(DB_TBL_DATA_FIELDS[[#This Row],[FIELD_VALUE_RAW]]),IFERROR(VALUE(DB_TBL_DATA_FIELDS[[#This Row],[FIELD_VALUE_RAW]]),-1))</f>
        <v>-1</v>
      </c>
      <c r="U246" s="8">
        <v>0</v>
      </c>
      <c r="V246" s="8">
        <v>1</v>
      </c>
      <c r="W246" s="7" t="b">
        <f>IF(NOT(DB_TBL_DATA_FIELDS[[#This Row],[RANGE_VALIDATION_ON_FLAG]]),TRUE,
AND(DB_TBL_DATA_FIELDS[[#This Row],[RANGE_VALUE_LEN]]&gt;=DB_TBL_DATA_FIELDS[[#This Row],[RANGE_VALIDATION_MIN]],DB_TBL_DATA_FIELDS[[#This Row],[RANGE_VALUE_LEN]]&lt;=DB_TBL_DATA_FIELDS[[#This Row],[RANGE_VALIDATION_MAX]]))</f>
        <v>1</v>
      </c>
      <c r="X246" s="7">
        <v>1</v>
      </c>
      <c r="Y246" s="7">
        <f ca="1">IF(DB_TBL_DATA_FIELDS[[#This Row],[PCT_CALC_SHOW_STATUS_CODE]]=1,
DB_TBL_DATA_FIELDS[[#This Row],[FIELD_STATUS_CODE]],
IF(AND(DB_TBL_DATA_FIELDS[[#This Row],[PCT_CALC_SHOW_STATUS_CODE]]=2,DB_TBL_DATA_FIELDS[[#This Row],[FIELD_STATUS_CODE]]=0),
DB_TBL_DATA_FIELDS[[#This Row],[FIELD_STATUS_CODE]],
"")
)</f>
        <v>1</v>
      </c>
      <c r="Z246" s="7"/>
      <c r="AA246" s="10" t="s">
        <v>3037</v>
      </c>
      <c r="AB246" s="10" t="s">
        <v>3032</v>
      </c>
      <c r="AC246" s="7"/>
    </row>
    <row r="247" spans="1:29" x14ac:dyDescent="0.2">
      <c r="A247" s="4" t="s">
        <v>65</v>
      </c>
      <c r="B247" s="4" t="s">
        <v>64</v>
      </c>
      <c r="C247" s="8" t="str">
        <f ca="1">IF($H$10&lt;&gt;"R",IF(DB_TBL_DATA_FIELDS[[#This Row],[SHEET_REF_OWNER]]&lt;&gt;"",DB_TBL_DATA_FIELDS[[#This Row],[SHEET_REF_OWNER]],""),IF(DB_TBL_DATA_FIELDS[[#This Row],[SHEET_REF_RENTAL]]&lt;&gt;"",DB_TBL_DATA_FIELDS[[#This Row],[SHEET_REF_RENTAL]],""))</f>
        <v>RentalApp</v>
      </c>
      <c r="D247" s="1" t="s">
        <v>3045</v>
      </c>
      <c r="E247" s="91" t="b">
        <v>1</v>
      </c>
      <c r="F247" s="23" t="b">
        <v>1</v>
      </c>
      <c r="G247" s="2" t="s">
        <v>3054</v>
      </c>
      <c r="H247" s="10" t="str">
        <f ca="1">IFERROR(VLOOKUP(DB_TBL_DATA_FIELDS[[#This Row],[FIELD_ID]],INDIRECT(DB_TBL_DATA_FIELDS[[#This Row],[SHEET_REF_CALC]]&amp;"!A:B"),2,FALSE),"")</f>
        <v/>
      </c>
      <c r="I247" s="10"/>
      <c r="J247" s="2" t="b">
        <f ca="1">(DB_TBL_DATA_FIELDS[[#This Row],[FIELD_VALUE_RAW]]="")</f>
        <v>1</v>
      </c>
      <c r="K247" s="2" t="s">
        <v>209</v>
      </c>
      <c r="L247" s="7" t="b">
        <f>AND(IF(DB_TBL_DATA_FIELDS[[#This Row],[FIELD_VALID_CUSTOM_LOGIC]]="",TRUE,DB_TBL_DATA_FIELDS[[#This Row],[FIELD_VALID_CUSTOM_LOGIC]]),DB_TBL_DATA_FIELDS[[#This Row],[RANGE_VALIDATION_PASSED_FLAG]])</f>
        <v>1</v>
      </c>
      <c r="M247"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47" s="7">
        <f ca="1">IF(DB_TBL_DATA_FIELDS[[#This Row],[SHEET_REF_CALC]]="","",IF(DB_TBL_DATA_FIELDS[[#This Row],[FIELD_EMPTY_FLAG]],IF(NOT(DB_TBL_DATA_FIELDS[[#This Row],[FIELD_REQ_FLAG]]),-1,1),IF(NOT(DB_TBL_DATA_FIELDS[[#This Row],[FIELD_VALID_FLAG]]),0,2)))</f>
        <v>1</v>
      </c>
      <c r="O247" s="7" t="str">
        <f ca="1">IFERROR(VLOOKUP(DB_TBL_DATA_FIELDS[[#This Row],[FIELD_STATUS_CODE]],DB_TBL_CONFIG_FIELDSTATUSCODES[#All],3,FALSE),"")</f>
        <v>Required</v>
      </c>
      <c r="P247" s="7" t="str">
        <f ca="1">IFERROR(VLOOKUP(DB_TBL_DATA_FIELDS[[#This Row],[FIELD_STATUS_CODE]],DB_TBL_CONFIG_FIELDSTATUSCODES[#All],4,FALSE),"")</f>
        <v>i</v>
      </c>
      <c r="Q247" s="7" t="b">
        <f>TRUE</f>
        <v>1</v>
      </c>
      <c r="R247" s="7" t="b">
        <v>0</v>
      </c>
      <c r="T247" s="7">
        <f ca="1">IF(DB_TBL_DATA_FIELDS[[#This Row],[RANGE_VALIDATION_FLAG]]="Text",LEN(DB_TBL_DATA_FIELDS[[#This Row],[FIELD_VALUE_RAW]]),IFERROR(VALUE(DB_TBL_DATA_FIELDS[[#This Row],[FIELD_VALUE_RAW]]),-1))</f>
        <v>-1</v>
      </c>
      <c r="U247" s="8">
        <v>0</v>
      </c>
      <c r="V247" s="8">
        <v>1</v>
      </c>
      <c r="W247" s="7" t="b">
        <f>IF(NOT(DB_TBL_DATA_FIELDS[[#This Row],[RANGE_VALIDATION_ON_FLAG]]),TRUE,
AND(DB_TBL_DATA_FIELDS[[#This Row],[RANGE_VALUE_LEN]]&gt;=DB_TBL_DATA_FIELDS[[#This Row],[RANGE_VALIDATION_MIN]],DB_TBL_DATA_FIELDS[[#This Row],[RANGE_VALUE_LEN]]&lt;=DB_TBL_DATA_FIELDS[[#This Row],[RANGE_VALIDATION_MAX]]))</f>
        <v>1</v>
      </c>
      <c r="X247" s="7">
        <v>1</v>
      </c>
      <c r="Y247" s="7">
        <f ca="1">IF(DB_TBL_DATA_FIELDS[[#This Row],[PCT_CALC_SHOW_STATUS_CODE]]=1,
DB_TBL_DATA_FIELDS[[#This Row],[FIELD_STATUS_CODE]],
IF(AND(DB_TBL_DATA_FIELDS[[#This Row],[PCT_CALC_SHOW_STATUS_CODE]]=2,DB_TBL_DATA_FIELDS[[#This Row],[FIELD_STATUS_CODE]]=0),
DB_TBL_DATA_FIELDS[[#This Row],[FIELD_STATUS_CODE]],
"")
)</f>
        <v>1</v>
      </c>
      <c r="Z247" s="7"/>
      <c r="AA247" s="10" t="s">
        <v>3038</v>
      </c>
      <c r="AB247" s="10" t="s">
        <v>3032</v>
      </c>
      <c r="AC247" s="7"/>
    </row>
    <row r="248" spans="1:29" x14ac:dyDescent="0.2">
      <c r="A248" s="4" t="s">
        <v>65</v>
      </c>
      <c r="B248" s="4" t="s">
        <v>64</v>
      </c>
      <c r="C248" s="8" t="str">
        <f ca="1">IF($H$10&lt;&gt;"R",IF(DB_TBL_DATA_FIELDS[[#This Row],[SHEET_REF_OWNER]]&lt;&gt;"",DB_TBL_DATA_FIELDS[[#This Row],[SHEET_REF_OWNER]],""),IF(DB_TBL_DATA_FIELDS[[#This Row],[SHEET_REF_RENTAL]]&lt;&gt;"",DB_TBL_DATA_FIELDS[[#This Row],[SHEET_REF_RENTAL]],""))</f>
        <v>RentalApp</v>
      </c>
      <c r="D248" s="1" t="s">
        <v>3046</v>
      </c>
      <c r="E248" s="91" t="b">
        <v>1</v>
      </c>
      <c r="F248" s="23" t="b">
        <v>1</v>
      </c>
      <c r="G248" s="2" t="s">
        <v>3055</v>
      </c>
      <c r="H248" s="10" t="str">
        <f ca="1">IFERROR(VLOOKUP(DB_TBL_DATA_FIELDS[[#This Row],[FIELD_ID]],INDIRECT(DB_TBL_DATA_FIELDS[[#This Row],[SHEET_REF_CALC]]&amp;"!A:B"),2,FALSE),"")</f>
        <v/>
      </c>
      <c r="I248" s="10"/>
      <c r="J248" s="2" t="b">
        <f ca="1">(DB_TBL_DATA_FIELDS[[#This Row],[FIELD_VALUE_RAW]]="")</f>
        <v>1</v>
      </c>
      <c r="K248" s="2" t="s">
        <v>209</v>
      </c>
      <c r="L248" s="7" t="b">
        <f>AND(IF(DB_TBL_DATA_FIELDS[[#This Row],[FIELD_VALID_CUSTOM_LOGIC]]="",TRUE,DB_TBL_DATA_FIELDS[[#This Row],[FIELD_VALID_CUSTOM_LOGIC]]),DB_TBL_DATA_FIELDS[[#This Row],[RANGE_VALIDATION_PASSED_FLAG]])</f>
        <v>1</v>
      </c>
      <c r="M248"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48" s="7">
        <f ca="1">IF(DB_TBL_DATA_FIELDS[[#This Row],[SHEET_REF_CALC]]="","",IF(DB_TBL_DATA_FIELDS[[#This Row],[FIELD_EMPTY_FLAG]],IF(NOT(DB_TBL_DATA_FIELDS[[#This Row],[FIELD_REQ_FLAG]]),-1,1),IF(NOT(DB_TBL_DATA_FIELDS[[#This Row],[FIELD_VALID_FLAG]]),0,2)))</f>
        <v>1</v>
      </c>
      <c r="O248" s="7" t="str">
        <f ca="1">IFERROR(VLOOKUP(DB_TBL_DATA_FIELDS[[#This Row],[FIELD_STATUS_CODE]],DB_TBL_CONFIG_FIELDSTATUSCODES[#All],3,FALSE),"")</f>
        <v>Required</v>
      </c>
      <c r="P248" s="7" t="str">
        <f ca="1">IFERROR(VLOOKUP(DB_TBL_DATA_FIELDS[[#This Row],[FIELD_STATUS_CODE]],DB_TBL_CONFIG_FIELDSTATUSCODES[#All],4,FALSE),"")</f>
        <v>i</v>
      </c>
      <c r="Q248" s="7" t="b">
        <f>TRUE</f>
        <v>1</v>
      </c>
      <c r="R248" s="7" t="b">
        <v>0</v>
      </c>
      <c r="T248" s="7">
        <f ca="1">IF(DB_TBL_DATA_FIELDS[[#This Row],[RANGE_VALIDATION_FLAG]]="Text",LEN(DB_TBL_DATA_FIELDS[[#This Row],[FIELD_VALUE_RAW]]),IFERROR(VALUE(DB_TBL_DATA_FIELDS[[#This Row],[FIELD_VALUE_RAW]]),-1))</f>
        <v>-1</v>
      </c>
      <c r="U248" s="8">
        <v>0</v>
      </c>
      <c r="V248" s="8">
        <v>1</v>
      </c>
      <c r="W248" s="7" t="b">
        <f>IF(NOT(DB_TBL_DATA_FIELDS[[#This Row],[RANGE_VALIDATION_ON_FLAG]]),TRUE,
AND(DB_TBL_DATA_FIELDS[[#This Row],[RANGE_VALUE_LEN]]&gt;=DB_TBL_DATA_FIELDS[[#This Row],[RANGE_VALIDATION_MIN]],DB_TBL_DATA_FIELDS[[#This Row],[RANGE_VALUE_LEN]]&lt;=DB_TBL_DATA_FIELDS[[#This Row],[RANGE_VALIDATION_MAX]]))</f>
        <v>1</v>
      </c>
      <c r="X248" s="7">
        <v>1</v>
      </c>
      <c r="Y248" s="7">
        <f ca="1">IF(DB_TBL_DATA_FIELDS[[#This Row],[PCT_CALC_SHOW_STATUS_CODE]]=1,
DB_TBL_DATA_FIELDS[[#This Row],[FIELD_STATUS_CODE]],
IF(AND(DB_TBL_DATA_FIELDS[[#This Row],[PCT_CALC_SHOW_STATUS_CODE]]=2,DB_TBL_DATA_FIELDS[[#This Row],[FIELD_STATUS_CODE]]=0),
DB_TBL_DATA_FIELDS[[#This Row],[FIELD_STATUS_CODE]],
"")
)</f>
        <v>1</v>
      </c>
      <c r="Z248" s="7"/>
      <c r="AA248" s="10" t="s">
        <v>3039</v>
      </c>
      <c r="AB248" s="10" t="s">
        <v>3032</v>
      </c>
      <c r="AC248" s="7"/>
    </row>
    <row r="249" spans="1:29" ht="13.5" thickBot="1" x14ac:dyDescent="0.25">
      <c r="A249" s="67" t="s">
        <v>65</v>
      </c>
      <c r="B249" s="67" t="s">
        <v>64</v>
      </c>
      <c r="C249" s="68" t="str">
        <f ca="1">IF($H$10&lt;&gt;"R",IF(DB_TBL_DATA_FIELDS[[#This Row],[SHEET_REF_OWNER]]&lt;&gt;"",DB_TBL_DATA_FIELDS[[#This Row],[SHEET_REF_OWNER]],""),IF(DB_TBL_DATA_FIELDS[[#This Row],[SHEET_REF_RENTAL]]&lt;&gt;"",DB_TBL_DATA_FIELDS[[#This Row],[SHEET_REF_RENTAL]],""))</f>
        <v>RentalApp</v>
      </c>
      <c r="D249" s="67" t="s">
        <v>3048</v>
      </c>
      <c r="E249" s="95" t="b">
        <v>1</v>
      </c>
      <c r="F249" s="71" t="b">
        <v>1</v>
      </c>
      <c r="G249" s="72" t="s">
        <v>3056</v>
      </c>
      <c r="H249" s="73" t="str">
        <f ca="1">IFERROR(VLOOKUP(DB_TBL_DATA_FIELDS[[#This Row],[FIELD_ID]],INDIRECT(DB_TBL_DATA_FIELDS[[#This Row],[SHEET_REF_CALC]]&amp;"!A:B"),2,FALSE),"")</f>
        <v/>
      </c>
      <c r="I249" s="73"/>
      <c r="J249" s="72" t="b">
        <f ca="1">(DB_TBL_DATA_FIELDS[[#This Row],[FIELD_VALUE_RAW]]="")</f>
        <v>1</v>
      </c>
      <c r="K249" s="72" t="s">
        <v>209</v>
      </c>
      <c r="L249" s="68" t="b">
        <f>AND(IF(DB_TBL_DATA_FIELDS[[#This Row],[FIELD_VALID_CUSTOM_LOGIC]]="",TRUE,DB_TBL_DATA_FIELDS[[#This Row],[FIELD_VALID_CUSTOM_LOGIC]]),DB_TBL_DATA_FIELDS[[#This Row],[RANGE_VALIDATION_PASSED_FLAG]])</f>
        <v>1</v>
      </c>
      <c r="M249" s="7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49" s="68">
        <f ca="1">IF(DB_TBL_DATA_FIELDS[[#This Row],[SHEET_REF_CALC]]="","",IF(DB_TBL_DATA_FIELDS[[#This Row],[FIELD_EMPTY_FLAG]],IF(NOT(DB_TBL_DATA_FIELDS[[#This Row],[FIELD_REQ_FLAG]]),-1,1),IF(NOT(DB_TBL_DATA_FIELDS[[#This Row],[FIELD_VALID_FLAG]]),0,2)))</f>
        <v>1</v>
      </c>
      <c r="O249" s="68" t="str">
        <f ca="1">IFERROR(VLOOKUP(DB_TBL_DATA_FIELDS[[#This Row],[FIELD_STATUS_CODE]],DB_TBL_CONFIG_FIELDSTATUSCODES[#All],3,FALSE),"")</f>
        <v>Required</v>
      </c>
      <c r="P249" s="68" t="str">
        <f ca="1">IFERROR(VLOOKUP(DB_TBL_DATA_FIELDS[[#This Row],[FIELD_STATUS_CODE]],DB_TBL_CONFIG_FIELDSTATUSCODES[#All],4,FALSE),"")</f>
        <v>i</v>
      </c>
      <c r="Q249" s="68" t="b">
        <f>TRUE</f>
        <v>1</v>
      </c>
      <c r="R249" s="68" t="b">
        <v>0</v>
      </c>
      <c r="S249" s="67"/>
      <c r="T249" s="68">
        <f ca="1">IF(DB_TBL_DATA_FIELDS[[#This Row],[RANGE_VALIDATION_FLAG]]="Text",LEN(DB_TBL_DATA_FIELDS[[#This Row],[FIELD_VALUE_RAW]]),IFERROR(VALUE(DB_TBL_DATA_FIELDS[[#This Row],[FIELD_VALUE_RAW]]),-1))</f>
        <v>-1</v>
      </c>
      <c r="U249" s="68">
        <v>0</v>
      </c>
      <c r="V249" s="68">
        <v>1</v>
      </c>
      <c r="W249" s="68" t="b">
        <f>IF(NOT(DB_TBL_DATA_FIELDS[[#This Row],[RANGE_VALIDATION_ON_FLAG]]),TRUE,
AND(DB_TBL_DATA_FIELDS[[#This Row],[RANGE_VALUE_LEN]]&gt;=DB_TBL_DATA_FIELDS[[#This Row],[RANGE_VALIDATION_MIN]],DB_TBL_DATA_FIELDS[[#This Row],[RANGE_VALUE_LEN]]&lt;=DB_TBL_DATA_FIELDS[[#This Row],[RANGE_VALIDATION_MAX]]))</f>
        <v>1</v>
      </c>
      <c r="X249" s="68">
        <v>1</v>
      </c>
      <c r="Y249" s="68">
        <f ca="1">IF(DB_TBL_DATA_FIELDS[[#This Row],[PCT_CALC_SHOW_STATUS_CODE]]=1,
DB_TBL_DATA_FIELDS[[#This Row],[FIELD_STATUS_CODE]],
IF(AND(DB_TBL_DATA_FIELDS[[#This Row],[PCT_CALC_SHOW_STATUS_CODE]]=2,DB_TBL_DATA_FIELDS[[#This Row],[FIELD_STATUS_CODE]]=0),
DB_TBL_DATA_FIELDS[[#This Row],[FIELD_STATUS_CODE]],
"")
)</f>
        <v>1</v>
      </c>
      <c r="Z249" s="68"/>
      <c r="AA249" s="73" t="s">
        <v>3040</v>
      </c>
      <c r="AB249" s="73" t="s">
        <v>3032</v>
      </c>
      <c r="AC249" s="68"/>
    </row>
    <row r="250" spans="1:29" x14ac:dyDescent="0.2">
      <c r="A250" s="4" t="s">
        <v>65</v>
      </c>
      <c r="B250" s="4" t="s">
        <v>64</v>
      </c>
      <c r="C250" s="8" t="str">
        <f ca="1">IF($H$10&lt;&gt;"R",IF(DB_TBL_DATA_FIELDS[[#This Row],[SHEET_REF_OWNER]]&lt;&gt;"",DB_TBL_DATA_FIELDS[[#This Row],[SHEET_REF_OWNER]],""),IF(DB_TBL_DATA_FIELDS[[#This Row],[SHEET_REF_RENTAL]]&lt;&gt;"",DB_TBL_DATA_FIELDS[[#This Row],[SHEET_REF_RENTAL]],""))</f>
        <v>RentalApp</v>
      </c>
      <c r="D250" s="1" t="s">
        <v>3073</v>
      </c>
      <c r="E250" s="91" t="b">
        <v>1</v>
      </c>
      <c r="F250" s="23" t="b">
        <v>1</v>
      </c>
      <c r="G250" s="2" t="s">
        <v>3067</v>
      </c>
      <c r="H250" s="10" t="str">
        <f ca="1">IFERROR(VLOOKUP(DB_TBL_DATA_FIELDS[[#This Row],[FIELD_ID]],INDIRECT(DB_TBL_DATA_FIELDS[[#This Row],[SHEET_REF_CALC]]&amp;"!A:B"),2,FALSE),"")</f>
        <v/>
      </c>
      <c r="I250" s="29" t="str">
        <f ca="1">IF(DB_TBL_DATA_FIELDS[[#This Row],[FIELD_EMPTY_FLAG]],"",DB_TBL_DATA_FIELDS[[#This Row],[FIELD_VALUE_RAW]]&lt;=DATA_TOTAL_UNITS)</f>
        <v/>
      </c>
      <c r="J250" s="2" t="b">
        <f ca="1">(DB_TBL_DATA_FIELDS[[#This Row],[FIELD_VALUE_RAW]]="")</f>
        <v>1</v>
      </c>
      <c r="K250" s="2" t="s">
        <v>62</v>
      </c>
      <c r="L250" s="7" t="b">
        <f ca="1">AND(IF(DB_TBL_DATA_FIELDS[[#This Row],[FIELD_VALID_CUSTOM_LOGIC]]="",TRUE,DB_TBL_DATA_FIELDS[[#This Row],[FIELD_VALID_CUSTOM_LOGIC]]),DB_TBL_DATA_FIELDS[[#This Row],[RANGE_VALIDATION_PASSED_FLAG]])</f>
        <v>0</v>
      </c>
      <c r="M250"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50" s="7">
        <f ca="1">IF(DB_TBL_DATA_FIELDS[[#This Row],[SHEET_REF_CALC]]="","",IF(DB_TBL_DATA_FIELDS[[#This Row],[FIELD_EMPTY_FLAG]],IF(NOT(DB_TBL_DATA_FIELDS[[#This Row],[FIELD_REQ_FLAG]]),-1,1),IF(NOT(DB_TBL_DATA_FIELDS[[#This Row],[FIELD_VALID_FLAG]]),0,2)))</f>
        <v>1</v>
      </c>
      <c r="O250" s="7" t="str">
        <f ca="1">IFERROR(VLOOKUP(DB_TBL_DATA_FIELDS[[#This Row],[FIELD_STATUS_CODE]],DB_TBL_CONFIG_FIELDSTATUSCODES[#All],3,FALSE),"")</f>
        <v>Required</v>
      </c>
      <c r="P250" s="7" t="str">
        <f ca="1">IFERROR(VLOOKUP(DB_TBL_DATA_FIELDS[[#This Row],[FIELD_STATUS_CODE]],DB_TBL_CONFIG_FIELDSTATUSCODES[#All],4,FALSE),"")</f>
        <v>i</v>
      </c>
      <c r="Q250" s="7" t="b">
        <f>TRUE</f>
        <v>1</v>
      </c>
      <c r="R250" s="7" t="b">
        <f>TRUE</f>
        <v>1</v>
      </c>
      <c r="S250" s="1" t="s">
        <v>62</v>
      </c>
      <c r="T250" s="7">
        <f ca="1">IF(DB_TBL_DATA_FIELDS[[#This Row],[RANGE_VALIDATION_FLAG]]="Text",LEN(DB_TBL_DATA_FIELDS[[#This Row],[FIELD_VALUE_RAW]]),IFERROR(VALUE(DB_TBL_DATA_FIELDS[[#This Row],[FIELD_VALUE_RAW]]),-1))</f>
        <v>-1</v>
      </c>
      <c r="U250" s="7">
        <v>0</v>
      </c>
      <c r="V250" s="8">
        <v>999999999999</v>
      </c>
      <c r="W250" s="7" t="b">
        <f ca="1">IF(NOT(DB_TBL_DATA_FIELDS[[#This Row],[RANGE_VALIDATION_ON_FLAG]]),TRUE,
AND(DB_TBL_DATA_FIELDS[[#This Row],[RANGE_VALUE_LEN]]&gt;=DB_TBL_DATA_FIELDS[[#This Row],[RANGE_VALIDATION_MIN]],DB_TBL_DATA_FIELDS[[#This Row],[RANGE_VALUE_LEN]]&lt;=DB_TBL_DATA_FIELDS[[#This Row],[RANGE_VALIDATION_MAX]]))</f>
        <v>0</v>
      </c>
      <c r="X250" s="7">
        <v>1</v>
      </c>
      <c r="Y250" s="7">
        <f ca="1">IF(DB_TBL_DATA_FIELDS[[#This Row],[PCT_CALC_SHOW_STATUS_CODE]]=1,
DB_TBL_DATA_FIELDS[[#This Row],[FIELD_STATUS_CODE]],
IF(AND(DB_TBL_DATA_FIELDS[[#This Row],[PCT_CALC_SHOW_STATUS_CODE]]=2,DB_TBL_DATA_FIELDS[[#This Row],[FIELD_STATUS_CODE]]=0),
DB_TBL_DATA_FIELDS[[#This Row],[FIELD_STATUS_CODE]],
"")
)</f>
        <v>1</v>
      </c>
      <c r="Z250" s="101" t="str">
        <f ca="1">IF(DB_TBL_DATA_FIELDS[[#This Row],[FIELD_VALID_CUSTOM_LOGIC]]="","",IF(NOT(DB_TBL_DATA_FIELDS[[#This Row],[FIELD_VALID_CUSTOM_LOGIC]]),"Exceeds Total Project Units",""))</f>
        <v/>
      </c>
      <c r="AA250" s="10" t="s">
        <v>3061</v>
      </c>
      <c r="AB250" s="10" t="s">
        <v>3079</v>
      </c>
      <c r="AC250" s="7"/>
    </row>
    <row r="251" spans="1:29" x14ac:dyDescent="0.2">
      <c r="A251" s="4" t="s">
        <v>65</v>
      </c>
      <c r="B251" s="4" t="s">
        <v>64</v>
      </c>
      <c r="C251" s="8" t="str">
        <f ca="1">IF($H$10&lt;&gt;"R",IF(DB_TBL_DATA_FIELDS[[#This Row],[SHEET_REF_OWNER]]&lt;&gt;"",DB_TBL_DATA_FIELDS[[#This Row],[SHEET_REF_OWNER]],""),IF(DB_TBL_DATA_FIELDS[[#This Row],[SHEET_REF_RENTAL]]&lt;&gt;"",DB_TBL_DATA_FIELDS[[#This Row],[SHEET_REF_RENTAL]],""))</f>
        <v>RentalApp</v>
      </c>
      <c r="D251" s="1" t="s">
        <v>3074</v>
      </c>
      <c r="E251" s="91" t="b">
        <v>1</v>
      </c>
      <c r="F251" s="23" t="b">
        <v>1</v>
      </c>
      <c r="G251" s="2" t="s">
        <v>3068</v>
      </c>
      <c r="H251" s="10" t="str">
        <f ca="1">IFERROR(VLOOKUP(DB_TBL_DATA_FIELDS[[#This Row],[FIELD_ID]],INDIRECT(DB_TBL_DATA_FIELDS[[#This Row],[SHEET_REF_CALC]]&amp;"!A:B"),2,FALSE),"")</f>
        <v/>
      </c>
      <c r="I251" s="29" t="str">
        <f ca="1">IF(DB_TBL_DATA_FIELDS[[#This Row],[FIELD_EMPTY_FLAG]],"",DB_TBL_DATA_FIELDS[[#This Row],[FIELD_VALUE_RAW]]&lt;=DATA_TOTAL_UNITS)</f>
        <v/>
      </c>
      <c r="J251" s="2" t="b">
        <f ca="1">(DB_TBL_DATA_FIELDS[[#This Row],[FIELD_VALUE_RAW]]="")</f>
        <v>1</v>
      </c>
      <c r="K251" s="2" t="s">
        <v>62</v>
      </c>
      <c r="L251" s="7" t="b">
        <f ca="1">AND(IF(DB_TBL_DATA_FIELDS[[#This Row],[FIELD_VALID_CUSTOM_LOGIC]]="",TRUE,DB_TBL_DATA_FIELDS[[#This Row],[FIELD_VALID_CUSTOM_LOGIC]]),DB_TBL_DATA_FIELDS[[#This Row],[RANGE_VALIDATION_PASSED_FLAG]])</f>
        <v>0</v>
      </c>
      <c r="M251"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51" s="7">
        <f ca="1">IF(DB_TBL_DATA_FIELDS[[#This Row],[SHEET_REF_CALC]]="","",IF(DB_TBL_DATA_FIELDS[[#This Row],[FIELD_EMPTY_FLAG]],IF(NOT(DB_TBL_DATA_FIELDS[[#This Row],[FIELD_REQ_FLAG]]),-1,1),IF(NOT(DB_TBL_DATA_FIELDS[[#This Row],[FIELD_VALID_FLAG]]),0,2)))</f>
        <v>1</v>
      </c>
      <c r="O251" s="7" t="str">
        <f ca="1">IFERROR(VLOOKUP(DB_TBL_DATA_FIELDS[[#This Row],[FIELD_STATUS_CODE]],DB_TBL_CONFIG_FIELDSTATUSCODES[#All],3,FALSE),"")</f>
        <v>Required</v>
      </c>
      <c r="P251" s="7" t="str">
        <f ca="1">IFERROR(VLOOKUP(DB_TBL_DATA_FIELDS[[#This Row],[FIELD_STATUS_CODE]],DB_TBL_CONFIG_FIELDSTATUSCODES[#All],4,FALSE),"")</f>
        <v>i</v>
      </c>
      <c r="Q251" s="7" t="b">
        <f>TRUE</f>
        <v>1</v>
      </c>
      <c r="R251" s="7" t="b">
        <f>TRUE</f>
        <v>1</v>
      </c>
      <c r="S251" s="1" t="s">
        <v>62</v>
      </c>
      <c r="T251" s="7">
        <f ca="1">IF(DB_TBL_DATA_FIELDS[[#This Row],[RANGE_VALIDATION_FLAG]]="Text",LEN(DB_TBL_DATA_FIELDS[[#This Row],[FIELD_VALUE_RAW]]),IFERROR(VALUE(DB_TBL_DATA_FIELDS[[#This Row],[FIELD_VALUE_RAW]]),-1))</f>
        <v>-1</v>
      </c>
      <c r="U251" s="7">
        <v>0</v>
      </c>
      <c r="V251" s="8">
        <v>999999999999</v>
      </c>
      <c r="W251" s="7" t="b">
        <f ca="1">IF(NOT(DB_TBL_DATA_FIELDS[[#This Row],[RANGE_VALIDATION_ON_FLAG]]),TRUE,
AND(DB_TBL_DATA_FIELDS[[#This Row],[RANGE_VALUE_LEN]]&gt;=DB_TBL_DATA_FIELDS[[#This Row],[RANGE_VALIDATION_MIN]],DB_TBL_DATA_FIELDS[[#This Row],[RANGE_VALUE_LEN]]&lt;=DB_TBL_DATA_FIELDS[[#This Row],[RANGE_VALIDATION_MAX]]))</f>
        <v>0</v>
      </c>
      <c r="X251" s="7">
        <v>1</v>
      </c>
      <c r="Y251" s="7">
        <f ca="1">IF(DB_TBL_DATA_FIELDS[[#This Row],[PCT_CALC_SHOW_STATUS_CODE]]=1,
DB_TBL_DATA_FIELDS[[#This Row],[FIELD_STATUS_CODE]],
IF(AND(DB_TBL_DATA_FIELDS[[#This Row],[PCT_CALC_SHOW_STATUS_CODE]]=2,DB_TBL_DATA_FIELDS[[#This Row],[FIELD_STATUS_CODE]]=0),
DB_TBL_DATA_FIELDS[[#This Row],[FIELD_STATUS_CODE]],
"")
)</f>
        <v>1</v>
      </c>
      <c r="Z251" s="101" t="str">
        <f ca="1">IF(DB_TBL_DATA_FIELDS[[#This Row],[FIELD_VALID_CUSTOM_LOGIC]]="","",IF(NOT(DB_TBL_DATA_FIELDS[[#This Row],[FIELD_VALID_CUSTOM_LOGIC]]),"Exceeds Total Project Units",""))</f>
        <v/>
      </c>
      <c r="AA251" s="10" t="s">
        <v>3062</v>
      </c>
      <c r="AB251" s="10" t="s">
        <v>3079</v>
      </c>
      <c r="AC251" s="7"/>
    </row>
    <row r="252" spans="1:29" x14ac:dyDescent="0.2">
      <c r="A252" s="4" t="s">
        <v>65</v>
      </c>
      <c r="B252" s="4" t="s">
        <v>64</v>
      </c>
      <c r="C252" s="8" t="str">
        <f ca="1">IF($H$10&lt;&gt;"R",IF(DB_TBL_DATA_FIELDS[[#This Row],[SHEET_REF_OWNER]]&lt;&gt;"",DB_TBL_DATA_FIELDS[[#This Row],[SHEET_REF_OWNER]],""),IF(DB_TBL_DATA_FIELDS[[#This Row],[SHEET_REF_RENTAL]]&lt;&gt;"",DB_TBL_DATA_FIELDS[[#This Row],[SHEET_REF_RENTAL]],""))</f>
        <v>RentalApp</v>
      </c>
      <c r="D252" s="1" t="s">
        <v>3075</v>
      </c>
      <c r="E252" s="91" t="b">
        <v>1</v>
      </c>
      <c r="F252" s="23" t="b">
        <v>1</v>
      </c>
      <c r="G252" s="2" t="s">
        <v>3069</v>
      </c>
      <c r="H252" s="10" t="str">
        <f ca="1">IFERROR(VLOOKUP(DB_TBL_DATA_FIELDS[[#This Row],[FIELD_ID]],INDIRECT(DB_TBL_DATA_FIELDS[[#This Row],[SHEET_REF_CALC]]&amp;"!A:B"),2,FALSE),"")</f>
        <v/>
      </c>
      <c r="I252" s="29" t="str">
        <f ca="1">IF(DB_TBL_DATA_FIELDS[[#This Row],[FIELD_EMPTY_FLAG]],"",DB_TBL_DATA_FIELDS[[#This Row],[FIELD_VALUE_RAW]]&lt;=DATA_TOTAL_UNITS)</f>
        <v/>
      </c>
      <c r="J252" s="2" t="b">
        <f ca="1">(DB_TBL_DATA_FIELDS[[#This Row],[FIELD_VALUE_RAW]]="")</f>
        <v>1</v>
      </c>
      <c r="K252" s="2" t="s">
        <v>62</v>
      </c>
      <c r="L252" s="7" t="b">
        <f ca="1">AND(IF(DB_TBL_DATA_FIELDS[[#This Row],[FIELD_VALID_CUSTOM_LOGIC]]="",TRUE,DB_TBL_DATA_FIELDS[[#This Row],[FIELD_VALID_CUSTOM_LOGIC]]),DB_TBL_DATA_FIELDS[[#This Row],[RANGE_VALIDATION_PASSED_FLAG]])</f>
        <v>0</v>
      </c>
      <c r="M252"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52" s="7">
        <f ca="1">IF(DB_TBL_DATA_FIELDS[[#This Row],[SHEET_REF_CALC]]="","",IF(DB_TBL_DATA_FIELDS[[#This Row],[FIELD_EMPTY_FLAG]],IF(NOT(DB_TBL_DATA_FIELDS[[#This Row],[FIELD_REQ_FLAG]]),-1,1),IF(NOT(DB_TBL_DATA_FIELDS[[#This Row],[FIELD_VALID_FLAG]]),0,2)))</f>
        <v>1</v>
      </c>
      <c r="O252" s="7" t="str">
        <f ca="1">IFERROR(VLOOKUP(DB_TBL_DATA_FIELDS[[#This Row],[FIELD_STATUS_CODE]],DB_TBL_CONFIG_FIELDSTATUSCODES[#All],3,FALSE),"")</f>
        <v>Required</v>
      </c>
      <c r="P252" s="7" t="str">
        <f ca="1">IFERROR(VLOOKUP(DB_TBL_DATA_FIELDS[[#This Row],[FIELD_STATUS_CODE]],DB_TBL_CONFIG_FIELDSTATUSCODES[#All],4,FALSE),"")</f>
        <v>i</v>
      </c>
      <c r="Q252" s="7" t="b">
        <f>TRUE</f>
        <v>1</v>
      </c>
      <c r="R252" s="7" t="b">
        <f>TRUE</f>
        <v>1</v>
      </c>
      <c r="S252" s="1" t="s">
        <v>62</v>
      </c>
      <c r="T252" s="7">
        <f ca="1">IF(DB_TBL_DATA_FIELDS[[#This Row],[RANGE_VALIDATION_FLAG]]="Text",LEN(DB_TBL_DATA_FIELDS[[#This Row],[FIELD_VALUE_RAW]]),IFERROR(VALUE(DB_TBL_DATA_FIELDS[[#This Row],[FIELD_VALUE_RAW]]),-1))</f>
        <v>-1</v>
      </c>
      <c r="U252" s="7">
        <v>0</v>
      </c>
      <c r="V252" s="8">
        <v>999999999999</v>
      </c>
      <c r="W252" s="7" t="b">
        <f ca="1">IF(NOT(DB_TBL_DATA_FIELDS[[#This Row],[RANGE_VALIDATION_ON_FLAG]]),TRUE,
AND(DB_TBL_DATA_FIELDS[[#This Row],[RANGE_VALUE_LEN]]&gt;=DB_TBL_DATA_FIELDS[[#This Row],[RANGE_VALIDATION_MIN]],DB_TBL_DATA_FIELDS[[#This Row],[RANGE_VALUE_LEN]]&lt;=DB_TBL_DATA_FIELDS[[#This Row],[RANGE_VALIDATION_MAX]]))</f>
        <v>0</v>
      </c>
      <c r="X252" s="7">
        <v>1</v>
      </c>
      <c r="Y252" s="7">
        <f ca="1">IF(DB_TBL_DATA_FIELDS[[#This Row],[PCT_CALC_SHOW_STATUS_CODE]]=1,
DB_TBL_DATA_FIELDS[[#This Row],[FIELD_STATUS_CODE]],
IF(AND(DB_TBL_DATA_FIELDS[[#This Row],[PCT_CALC_SHOW_STATUS_CODE]]=2,DB_TBL_DATA_FIELDS[[#This Row],[FIELD_STATUS_CODE]]=0),
DB_TBL_DATA_FIELDS[[#This Row],[FIELD_STATUS_CODE]],
"")
)</f>
        <v>1</v>
      </c>
      <c r="Z252" s="101" t="str">
        <f ca="1">IF(DB_TBL_DATA_FIELDS[[#This Row],[FIELD_VALID_CUSTOM_LOGIC]]="","",IF(NOT(DB_TBL_DATA_FIELDS[[#This Row],[FIELD_VALID_CUSTOM_LOGIC]]),"Exceeds Total Project Units",""))</f>
        <v/>
      </c>
      <c r="AA252" s="10" t="s">
        <v>3063</v>
      </c>
      <c r="AB252" s="10" t="s">
        <v>3079</v>
      </c>
      <c r="AC252" s="7"/>
    </row>
    <row r="253" spans="1:29" x14ac:dyDescent="0.2">
      <c r="A253" s="4" t="s">
        <v>65</v>
      </c>
      <c r="B253" s="4" t="s">
        <v>64</v>
      </c>
      <c r="C253" s="8" t="str">
        <f ca="1">IF($H$10&lt;&gt;"R",IF(DB_TBL_DATA_FIELDS[[#This Row],[SHEET_REF_OWNER]]&lt;&gt;"",DB_TBL_DATA_FIELDS[[#This Row],[SHEET_REF_OWNER]],""),IF(DB_TBL_DATA_FIELDS[[#This Row],[SHEET_REF_RENTAL]]&lt;&gt;"",DB_TBL_DATA_FIELDS[[#This Row],[SHEET_REF_RENTAL]],""))</f>
        <v>RentalApp</v>
      </c>
      <c r="D253" s="1" t="s">
        <v>3076</v>
      </c>
      <c r="E253" s="91" t="b">
        <v>1</v>
      </c>
      <c r="F253" s="23" t="b">
        <v>1</v>
      </c>
      <c r="G253" s="2" t="s">
        <v>3070</v>
      </c>
      <c r="H253" s="10" t="str">
        <f ca="1">IFERROR(VLOOKUP(DB_TBL_DATA_FIELDS[[#This Row],[FIELD_ID]],INDIRECT(DB_TBL_DATA_FIELDS[[#This Row],[SHEET_REF_CALC]]&amp;"!A:B"),2,FALSE),"")</f>
        <v/>
      </c>
      <c r="I253" s="29" t="str">
        <f ca="1">IF(DB_TBL_DATA_FIELDS[[#This Row],[FIELD_EMPTY_FLAG]],"",DB_TBL_DATA_FIELDS[[#This Row],[FIELD_VALUE_RAW]]&lt;=DATA_TOTAL_UNITS)</f>
        <v/>
      </c>
      <c r="J253" s="2" t="b">
        <f ca="1">(DB_TBL_DATA_FIELDS[[#This Row],[FIELD_VALUE_RAW]]="")</f>
        <v>1</v>
      </c>
      <c r="K253" s="2" t="s">
        <v>62</v>
      </c>
      <c r="L253" s="7" t="b">
        <f ca="1">AND(IF(DB_TBL_DATA_FIELDS[[#This Row],[FIELD_VALID_CUSTOM_LOGIC]]="",TRUE,DB_TBL_DATA_FIELDS[[#This Row],[FIELD_VALID_CUSTOM_LOGIC]]),DB_TBL_DATA_FIELDS[[#This Row],[RANGE_VALIDATION_PASSED_FLAG]])</f>
        <v>0</v>
      </c>
      <c r="M253"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53" s="7">
        <f ca="1">IF(DB_TBL_DATA_FIELDS[[#This Row],[SHEET_REF_CALC]]="","",IF(DB_TBL_DATA_FIELDS[[#This Row],[FIELD_EMPTY_FLAG]],IF(NOT(DB_TBL_DATA_FIELDS[[#This Row],[FIELD_REQ_FLAG]]),-1,1),IF(NOT(DB_TBL_DATA_FIELDS[[#This Row],[FIELD_VALID_FLAG]]),0,2)))</f>
        <v>1</v>
      </c>
      <c r="O253" s="7" t="str">
        <f ca="1">IFERROR(VLOOKUP(DB_TBL_DATA_FIELDS[[#This Row],[FIELD_STATUS_CODE]],DB_TBL_CONFIG_FIELDSTATUSCODES[#All],3,FALSE),"")</f>
        <v>Required</v>
      </c>
      <c r="P253" s="7" t="str">
        <f ca="1">IFERROR(VLOOKUP(DB_TBL_DATA_FIELDS[[#This Row],[FIELD_STATUS_CODE]],DB_TBL_CONFIG_FIELDSTATUSCODES[#All],4,FALSE),"")</f>
        <v>i</v>
      </c>
      <c r="Q253" s="7" t="b">
        <f>TRUE</f>
        <v>1</v>
      </c>
      <c r="R253" s="7" t="b">
        <f>TRUE</f>
        <v>1</v>
      </c>
      <c r="S253" s="1" t="s">
        <v>62</v>
      </c>
      <c r="T253" s="7">
        <f ca="1">IF(DB_TBL_DATA_FIELDS[[#This Row],[RANGE_VALIDATION_FLAG]]="Text",LEN(DB_TBL_DATA_FIELDS[[#This Row],[FIELD_VALUE_RAW]]),IFERROR(VALUE(DB_TBL_DATA_FIELDS[[#This Row],[FIELD_VALUE_RAW]]),-1))</f>
        <v>-1</v>
      </c>
      <c r="U253" s="7">
        <v>0</v>
      </c>
      <c r="V253" s="8">
        <v>999999999999</v>
      </c>
      <c r="W253" s="7" t="b">
        <f ca="1">IF(NOT(DB_TBL_DATA_FIELDS[[#This Row],[RANGE_VALIDATION_ON_FLAG]]),TRUE,
AND(DB_TBL_DATA_FIELDS[[#This Row],[RANGE_VALUE_LEN]]&gt;=DB_TBL_DATA_FIELDS[[#This Row],[RANGE_VALIDATION_MIN]],DB_TBL_DATA_FIELDS[[#This Row],[RANGE_VALUE_LEN]]&lt;=DB_TBL_DATA_FIELDS[[#This Row],[RANGE_VALIDATION_MAX]]))</f>
        <v>0</v>
      </c>
      <c r="X253" s="7">
        <v>1</v>
      </c>
      <c r="Y253" s="7">
        <f ca="1">IF(DB_TBL_DATA_FIELDS[[#This Row],[PCT_CALC_SHOW_STATUS_CODE]]=1,
DB_TBL_DATA_FIELDS[[#This Row],[FIELD_STATUS_CODE]],
IF(AND(DB_TBL_DATA_FIELDS[[#This Row],[PCT_CALC_SHOW_STATUS_CODE]]=2,DB_TBL_DATA_FIELDS[[#This Row],[FIELD_STATUS_CODE]]=0),
DB_TBL_DATA_FIELDS[[#This Row],[FIELD_STATUS_CODE]],
"")
)</f>
        <v>1</v>
      </c>
      <c r="Z253" s="101" t="str">
        <f ca="1">IF(DB_TBL_DATA_FIELDS[[#This Row],[FIELD_VALID_CUSTOM_LOGIC]]="","",IF(NOT(DB_TBL_DATA_FIELDS[[#This Row],[FIELD_VALID_CUSTOM_LOGIC]]),"Exceeds Total Project Units",""))</f>
        <v/>
      </c>
      <c r="AA253" s="10" t="s">
        <v>3064</v>
      </c>
      <c r="AB253" s="10" t="s">
        <v>3079</v>
      </c>
      <c r="AC253" s="7"/>
    </row>
    <row r="254" spans="1:29" x14ac:dyDescent="0.2">
      <c r="A254" s="4" t="s">
        <v>65</v>
      </c>
      <c r="B254" s="4" t="s">
        <v>64</v>
      </c>
      <c r="C254" s="8" t="str">
        <f ca="1">IF($H$10&lt;&gt;"R",IF(DB_TBL_DATA_FIELDS[[#This Row],[SHEET_REF_OWNER]]&lt;&gt;"",DB_TBL_DATA_FIELDS[[#This Row],[SHEET_REF_OWNER]],""),IF(DB_TBL_DATA_FIELDS[[#This Row],[SHEET_REF_RENTAL]]&lt;&gt;"",DB_TBL_DATA_FIELDS[[#This Row],[SHEET_REF_RENTAL]],""))</f>
        <v>RentalApp</v>
      </c>
      <c r="D254" s="1" t="s">
        <v>3077</v>
      </c>
      <c r="E254" s="91" t="b">
        <v>1</v>
      </c>
      <c r="F254" s="23" t="b">
        <v>1</v>
      </c>
      <c r="G254" s="2" t="s">
        <v>3071</v>
      </c>
      <c r="H254" s="10" t="str">
        <f ca="1">IFERROR(VLOOKUP(DB_TBL_DATA_FIELDS[[#This Row],[FIELD_ID]],INDIRECT(DB_TBL_DATA_FIELDS[[#This Row],[SHEET_REF_CALC]]&amp;"!A:B"),2,FALSE),"")</f>
        <v/>
      </c>
      <c r="I254" s="29" t="str">
        <f ca="1">IF(DB_TBL_DATA_FIELDS[[#This Row],[FIELD_EMPTY_FLAG]],"",DB_TBL_DATA_FIELDS[[#This Row],[FIELD_VALUE_RAW]]&lt;=DATA_TOTAL_UNITS)</f>
        <v/>
      </c>
      <c r="J254" s="2" t="b">
        <f ca="1">(DB_TBL_DATA_FIELDS[[#This Row],[FIELD_VALUE_RAW]]="")</f>
        <v>1</v>
      </c>
      <c r="K254" s="2" t="s">
        <v>62</v>
      </c>
      <c r="L254" s="7" t="b">
        <f ca="1">AND(IF(DB_TBL_DATA_FIELDS[[#This Row],[FIELD_VALID_CUSTOM_LOGIC]]="",TRUE,DB_TBL_DATA_FIELDS[[#This Row],[FIELD_VALID_CUSTOM_LOGIC]]),DB_TBL_DATA_FIELDS[[#This Row],[RANGE_VALIDATION_PASSED_FLAG]])</f>
        <v>0</v>
      </c>
      <c r="M254"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54" s="7">
        <f ca="1">IF(DB_TBL_DATA_FIELDS[[#This Row],[SHEET_REF_CALC]]="","",IF(DB_TBL_DATA_FIELDS[[#This Row],[FIELD_EMPTY_FLAG]],IF(NOT(DB_TBL_DATA_FIELDS[[#This Row],[FIELD_REQ_FLAG]]),-1,1),IF(NOT(DB_TBL_DATA_FIELDS[[#This Row],[FIELD_VALID_FLAG]]),0,2)))</f>
        <v>1</v>
      </c>
      <c r="O254" s="7" t="str">
        <f ca="1">IFERROR(VLOOKUP(DB_TBL_DATA_FIELDS[[#This Row],[FIELD_STATUS_CODE]],DB_TBL_CONFIG_FIELDSTATUSCODES[#All],3,FALSE),"")</f>
        <v>Required</v>
      </c>
      <c r="P254" s="7" t="str">
        <f ca="1">IFERROR(VLOOKUP(DB_TBL_DATA_FIELDS[[#This Row],[FIELD_STATUS_CODE]],DB_TBL_CONFIG_FIELDSTATUSCODES[#All],4,FALSE),"")</f>
        <v>i</v>
      </c>
      <c r="Q254" s="7" t="b">
        <f>TRUE</f>
        <v>1</v>
      </c>
      <c r="R254" s="7" t="b">
        <f>TRUE</f>
        <v>1</v>
      </c>
      <c r="S254" s="1" t="s">
        <v>62</v>
      </c>
      <c r="T254" s="7">
        <f ca="1">IF(DB_TBL_DATA_FIELDS[[#This Row],[RANGE_VALIDATION_FLAG]]="Text",LEN(DB_TBL_DATA_FIELDS[[#This Row],[FIELD_VALUE_RAW]]),IFERROR(VALUE(DB_TBL_DATA_FIELDS[[#This Row],[FIELD_VALUE_RAW]]),-1))</f>
        <v>-1</v>
      </c>
      <c r="U254" s="7">
        <v>0</v>
      </c>
      <c r="V254" s="8">
        <v>999999999999</v>
      </c>
      <c r="W254" s="7" t="b">
        <f ca="1">IF(NOT(DB_TBL_DATA_FIELDS[[#This Row],[RANGE_VALIDATION_ON_FLAG]]),TRUE,
AND(DB_TBL_DATA_FIELDS[[#This Row],[RANGE_VALUE_LEN]]&gt;=DB_TBL_DATA_FIELDS[[#This Row],[RANGE_VALIDATION_MIN]],DB_TBL_DATA_FIELDS[[#This Row],[RANGE_VALUE_LEN]]&lt;=DB_TBL_DATA_FIELDS[[#This Row],[RANGE_VALIDATION_MAX]]))</f>
        <v>0</v>
      </c>
      <c r="X254" s="7">
        <v>1</v>
      </c>
      <c r="Y254" s="7">
        <f ca="1">IF(DB_TBL_DATA_FIELDS[[#This Row],[PCT_CALC_SHOW_STATUS_CODE]]=1,
DB_TBL_DATA_FIELDS[[#This Row],[FIELD_STATUS_CODE]],
IF(AND(DB_TBL_DATA_FIELDS[[#This Row],[PCT_CALC_SHOW_STATUS_CODE]]=2,DB_TBL_DATA_FIELDS[[#This Row],[FIELD_STATUS_CODE]]=0),
DB_TBL_DATA_FIELDS[[#This Row],[FIELD_STATUS_CODE]],
"")
)</f>
        <v>1</v>
      </c>
      <c r="Z254" s="101" t="str">
        <f ca="1">IF(DB_TBL_DATA_FIELDS[[#This Row],[FIELD_VALID_CUSTOM_LOGIC]]="","",IF(NOT(DB_TBL_DATA_FIELDS[[#This Row],[FIELD_VALID_CUSTOM_LOGIC]]),"Exceeds Total Project Units",""))</f>
        <v/>
      </c>
      <c r="AA254" s="10" t="s">
        <v>3065</v>
      </c>
      <c r="AB254" s="10" t="s">
        <v>3079</v>
      </c>
      <c r="AC254" s="7"/>
    </row>
    <row r="255" spans="1:29" ht="13.5" thickBot="1" x14ac:dyDescent="0.25">
      <c r="A255" s="67" t="s">
        <v>65</v>
      </c>
      <c r="B255" s="67" t="s">
        <v>64</v>
      </c>
      <c r="C255" s="68" t="str">
        <f ca="1">IF($H$10&lt;&gt;"R",IF(DB_TBL_DATA_FIELDS[[#This Row],[SHEET_REF_OWNER]]&lt;&gt;"",DB_TBL_DATA_FIELDS[[#This Row],[SHEET_REF_OWNER]],""),IF(DB_TBL_DATA_FIELDS[[#This Row],[SHEET_REF_RENTAL]]&lt;&gt;"",DB_TBL_DATA_FIELDS[[#This Row],[SHEET_REF_RENTAL]],""))</f>
        <v>RentalApp</v>
      </c>
      <c r="D255" s="67" t="s">
        <v>3078</v>
      </c>
      <c r="E255" s="95" t="b">
        <v>0</v>
      </c>
      <c r="F255" s="71" t="b">
        <v>0</v>
      </c>
      <c r="G255" s="72" t="s">
        <v>3072</v>
      </c>
      <c r="H255" s="73" t="str">
        <f ca="1">IF(SUM(H250:H254)&gt;0,SUM(H250:H254),"")</f>
        <v/>
      </c>
      <c r="I255" s="76" t="str">
        <f ca="1">IF(DB_TBL_DATA_FIELDS[[#This Row],[FIELD_EMPTY_FLAG]],"",DB_TBL_DATA_FIELDS[[#This Row],[FIELD_VALUE_RAW]]&lt;=DATA_TOTAL_UNITS)</f>
        <v/>
      </c>
      <c r="J255" s="72" t="b">
        <f ca="1">(DB_TBL_DATA_FIELDS[[#This Row],[FIELD_VALUE_RAW]]="")</f>
        <v>1</v>
      </c>
      <c r="K255" s="72" t="s">
        <v>62</v>
      </c>
      <c r="L255" s="68" t="b">
        <f ca="1">AND(IF(DB_TBL_DATA_FIELDS[[#This Row],[FIELD_VALID_CUSTOM_LOGIC]]="",TRUE,DB_TBL_DATA_FIELDS[[#This Row],[FIELD_VALID_CUSTOM_LOGIC]]),DB_TBL_DATA_FIELDS[[#This Row],[RANGE_VALIDATION_PASSED_FLAG]])</f>
        <v>0</v>
      </c>
      <c r="M255" s="7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55" s="68">
        <f ca="1">IF(DB_TBL_DATA_FIELDS[[#This Row],[SHEET_REF_CALC]]="","",IF(DB_TBL_DATA_FIELDS[[#This Row],[FIELD_EMPTY_FLAG]],IF(NOT(DB_TBL_DATA_FIELDS[[#This Row],[FIELD_REQ_FLAG]]),-1,1),IF(NOT(DB_TBL_DATA_FIELDS[[#This Row],[FIELD_VALID_FLAG]]),0,2)))</f>
        <v>-1</v>
      </c>
      <c r="O255" s="68" t="str">
        <f ca="1">IFERROR(VLOOKUP(DB_TBL_DATA_FIELDS[[#This Row],[FIELD_STATUS_CODE]],DB_TBL_CONFIG_FIELDSTATUSCODES[#All],3,FALSE),"")</f>
        <v>Optional</v>
      </c>
      <c r="P255" s="68" t="str">
        <f ca="1">IFERROR(VLOOKUP(DB_TBL_DATA_FIELDS[[#This Row],[FIELD_STATUS_CODE]],DB_TBL_CONFIG_FIELDSTATUSCODES[#All],4,FALSE),"")</f>
        <v xml:space="preserve"> </v>
      </c>
      <c r="Q255" s="68" t="b">
        <f>TRUE</f>
        <v>1</v>
      </c>
      <c r="R255" s="68" t="b">
        <f>TRUE</f>
        <v>1</v>
      </c>
      <c r="S255" s="67" t="s">
        <v>62</v>
      </c>
      <c r="T255" s="68">
        <f ca="1">IF(DB_TBL_DATA_FIELDS[[#This Row],[RANGE_VALIDATION_FLAG]]="Text",LEN(DB_TBL_DATA_FIELDS[[#This Row],[FIELD_VALUE_RAW]]),IFERROR(VALUE(DB_TBL_DATA_FIELDS[[#This Row],[FIELD_VALUE_RAW]]),-1))</f>
        <v>-1</v>
      </c>
      <c r="U255" s="68">
        <v>0</v>
      </c>
      <c r="V255" s="68">
        <v>999999999999</v>
      </c>
      <c r="W255" s="68" t="b">
        <f ca="1">IF(NOT(DB_TBL_DATA_FIELDS[[#This Row],[RANGE_VALIDATION_ON_FLAG]]),TRUE,
AND(DB_TBL_DATA_FIELDS[[#This Row],[RANGE_VALUE_LEN]]&gt;=DB_TBL_DATA_FIELDS[[#This Row],[RANGE_VALIDATION_MIN]],DB_TBL_DATA_FIELDS[[#This Row],[RANGE_VALUE_LEN]]&lt;=DB_TBL_DATA_FIELDS[[#This Row],[RANGE_VALIDATION_MAX]]))</f>
        <v>0</v>
      </c>
      <c r="X255" s="68">
        <v>1</v>
      </c>
      <c r="Y255" s="68">
        <f ca="1">IF(DB_TBL_DATA_FIELDS[[#This Row],[PCT_CALC_SHOW_STATUS_CODE]]=1,
DB_TBL_DATA_FIELDS[[#This Row],[FIELD_STATUS_CODE]],
IF(AND(DB_TBL_DATA_FIELDS[[#This Row],[PCT_CALC_SHOW_STATUS_CODE]]=2,DB_TBL_DATA_FIELDS[[#This Row],[FIELD_STATUS_CODE]]=0),
DB_TBL_DATA_FIELDS[[#This Row],[FIELD_STATUS_CODE]],
"")
)</f>
        <v>-1</v>
      </c>
      <c r="Z255" s="102" t="str">
        <f ca="1">IF(DB_TBL_DATA_FIELDS[[#This Row],[FIELD_VALID_CUSTOM_LOGIC]]="","",IF(NOT(DB_TBL_DATA_FIELDS[[#This Row],[FIELD_VALID_CUSTOM_LOGIC]]),"Exceeds Total Project Units",""))</f>
        <v/>
      </c>
      <c r="AA255" s="73" t="s">
        <v>3066</v>
      </c>
      <c r="AB255" s="73" t="s">
        <v>3079</v>
      </c>
      <c r="AC255" s="68"/>
    </row>
    <row r="256" spans="1:29" x14ac:dyDescent="0.2">
      <c r="A256" s="4" t="s">
        <v>65</v>
      </c>
      <c r="B256" s="4" t="s">
        <v>64</v>
      </c>
      <c r="C256" s="8" t="str">
        <f ca="1">IF($H$10&lt;&gt;"R",IF(DB_TBL_DATA_FIELDS[[#This Row],[SHEET_REF_OWNER]]&lt;&gt;"",DB_TBL_DATA_FIELDS[[#This Row],[SHEET_REF_OWNER]],""),IF(DB_TBL_DATA_FIELDS[[#This Row],[SHEET_REF_RENTAL]]&lt;&gt;"",DB_TBL_DATA_FIELDS[[#This Row],[SHEET_REF_RENTAL]],""))</f>
        <v>RentalApp</v>
      </c>
      <c r="D256" s="4" t="s">
        <v>3097</v>
      </c>
      <c r="E256" s="32" t="b">
        <v>1</v>
      </c>
      <c r="F256" s="25" t="b">
        <v>1</v>
      </c>
      <c r="G256" s="6" t="s">
        <v>3099</v>
      </c>
      <c r="H256" s="11" t="str">
        <f ca="1">IFERROR(VLOOKUP(DB_TBL_DATA_FIELDS[[#This Row],[FIELD_ID]],INDIRECT(DB_TBL_DATA_FIELDS[[#This Row],[SHEET_REF_CALC]]&amp;"!A:B"),2,FALSE),"")</f>
        <v/>
      </c>
      <c r="I256" s="29" t="str">
        <f ca="1">IF(DB_TBL_DATA_FIELDS[[#This Row],[FIELD_EMPTY_FLAG]],"",DB_TBL_DATA_FIELDS[[#This Row],[FIELD_VALUE_RAW]]&lt;=DATA_TOTAL_UNITS)</f>
        <v/>
      </c>
      <c r="J256" s="6" t="b">
        <f ca="1">(DB_TBL_DATA_FIELDS[[#This Row],[FIELD_VALUE_RAW]]="")</f>
        <v>1</v>
      </c>
      <c r="K256" s="6" t="s">
        <v>62</v>
      </c>
      <c r="L256" s="8" t="b">
        <f ca="1">AND(IF(DB_TBL_DATA_FIELDS[[#This Row],[FIELD_VALID_CUSTOM_LOGIC]]="",TRUE,DB_TBL_DATA_FIELDS[[#This Row],[FIELD_VALID_CUSTOM_LOGIC]]),DB_TBL_DATA_FIELDS[[#This Row],[RANGE_VALIDATION_PASSED_FLAG]])</f>
        <v>0</v>
      </c>
      <c r="M256"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56" s="8">
        <f ca="1">IF(DB_TBL_DATA_FIELDS[[#This Row],[SHEET_REF_CALC]]="","",IF(DB_TBL_DATA_FIELDS[[#This Row],[FIELD_EMPTY_FLAG]],IF(NOT(DB_TBL_DATA_FIELDS[[#This Row],[FIELD_REQ_FLAG]]),-1,1),IF(NOT(DB_TBL_DATA_FIELDS[[#This Row],[FIELD_VALID_FLAG]]),0,2)))</f>
        <v>1</v>
      </c>
      <c r="O256" s="8" t="str">
        <f ca="1">IFERROR(VLOOKUP(DB_TBL_DATA_FIELDS[[#This Row],[FIELD_STATUS_CODE]],DB_TBL_CONFIG_FIELDSTATUSCODES[#All],3,FALSE),"")</f>
        <v>Required</v>
      </c>
      <c r="P256" s="8" t="str">
        <f ca="1">IFERROR(VLOOKUP(DB_TBL_DATA_FIELDS[[#This Row],[FIELD_STATUS_CODE]],DB_TBL_CONFIG_FIELDSTATUSCODES[#All],4,FALSE),"")</f>
        <v>i</v>
      </c>
      <c r="Q256" s="8" t="b">
        <f>TRUE</f>
        <v>1</v>
      </c>
      <c r="R256" s="8" t="b">
        <f>TRUE</f>
        <v>1</v>
      </c>
      <c r="S256" s="4" t="s">
        <v>62</v>
      </c>
      <c r="T256" s="8">
        <f ca="1">IF(DB_TBL_DATA_FIELDS[[#This Row],[RANGE_VALIDATION_FLAG]]="Text",LEN(DB_TBL_DATA_FIELDS[[#This Row],[FIELD_VALUE_RAW]]),IFERROR(VALUE(DB_TBL_DATA_FIELDS[[#This Row],[FIELD_VALUE_RAW]]),-1))</f>
        <v>-1</v>
      </c>
      <c r="U256" s="8">
        <v>0</v>
      </c>
      <c r="V256" s="8">
        <v>999999999999</v>
      </c>
      <c r="W256" s="8" t="b">
        <f ca="1">IF(NOT(DB_TBL_DATA_FIELDS[[#This Row],[RANGE_VALIDATION_ON_FLAG]]),TRUE,
AND(DB_TBL_DATA_FIELDS[[#This Row],[RANGE_VALUE_LEN]]&gt;=DB_TBL_DATA_FIELDS[[#This Row],[RANGE_VALIDATION_MIN]],DB_TBL_DATA_FIELDS[[#This Row],[RANGE_VALUE_LEN]]&lt;=DB_TBL_DATA_FIELDS[[#This Row],[RANGE_VALIDATION_MAX]]))</f>
        <v>0</v>
      </c>
      <c r="X256" s="8">
        <v>1</v>
      </c>
      <c r="Y256" s="8">
        <f ca="1">IF(DB_TBL_DATA_FIELDS[[#This Row],[PCT_CALC_SHOW_STATUS_CODE]]=1,
DB_TBL_DATA_FIELDS[[#This Row],[FIELD_STATUS_CODE]],
IF(AND(DB_TBL_DATA_FIELDS[[#This Row],[PCT_CALC_SHOW_STATUS_CODE]]=2,DB_TBL_DATA_FIELDS[[#This Row],[FIELD_STATUS_CODE]]=0),
DB_TBL_DATA_FIELDS[[#This Row],[FIELD_STATUS_CODE]],
"")
)</f>
        <v>1</v>
      </c>
      <c r="Z256" s="101" t="str">
        <f ca="1">IF(DB_TBL_DATA_FIELDS[[#This Row],[FIELD_VALID_CUSTOM_LOGIC]]="","",IF(NOT(DB_TBL_DATA_FIELDS[[#This Row],[FIELD_VALID_CUSTOM_LOGIC]]),"Exceeds Total Project Units",""))</f>
        <v/>
      </c>
      <c r="AA256" s="11" t="s">
        <v>3101</v>
      </c>
      <c r="AB256" s="11" t="s">
        <v>3103</v>
      </c>
      <c r="AC256" s="8"/>
    </row>
    <row r="257" spans="1:29" ht="13.5" thickBot="1" x14ac:dyDescent="0.25">
      <c r="A257" s="67" t="s">
        <v>65</v>
      </c>
      <c r="B257" s="67" t="s">
        <v>64</v>
      </c>
      <c r="C257" s="68" t="str">
        <f ca="1">IF($H$10&lt;&gt;"R",IF(DB_TBL_DATA_FIELDS[[#This Row],[SHEET_REF_OWNER]]&lt;&gt;"",DB_TBL_DATA_FIELDS[[#This Row],[SHEET_REF_OWNER]],""),IF(DB_TBL_DATA_FIELDS[[#This Row],[SHEET_REF_RENTAL]]&lt;&gt;"",DB_TBL_DATA_FIELDS[[#This Row],[SHEET_REF_RENTAL]],""))</f>
        <v>RentalApp</v>
      </c>
      <c r="D257" s="67" t="s">
        <v>3098</v>
      </c>
      <c r="E257" s="65" t="b">
        <v>1</v>
      </c>
      <c r="F257" s="80" t="b">
        <f ca="1">AND(H256&gt;0,NOT(J256))</f>
        <v>0</v>
      </c>
      <c r="G257" s="72" t="s">
        <v>3100</v>
      </c>
      <c r="H257" s="73" t="str">
        <f ca="1">IFERROR(VLOOKUP(DB_TBL_DATA_FIELDS[[#This Row],[FIELD_ID]],INDIRECT(DB_TBL_DATA_FIELDS[[#This Row],[SHEET_REF_CALC]]&amp;"!A:B"),2,FALSE),"")</f>
        <v/>
      </c>
      <c r="I257" s="76" t="str">
        <f ca="1">IF(DB_TBL_DATA_FIELDS[[#This Row],[FIELD_EMPTY_FLAG]],"",AND(H256&gt;0,H256&lt;&gt;""))</f>
        <v/>
      </c>
      <c r="J257" s="72" t="b">
        <f ca="1">(DB_TBL_DATA_FIELDS[[#This Row],[FIELD_VALUE_RAW]]="")</f>
        <v>1</v>
      </c>
      <c r="K257" s="72" t="s">
        <v>11</v>
      </c>
      <c r="L257" s="68" t="b">
        <f ca="1">AND(IF(DB_TBL_DATA_FIELDS[[#This Row],[FIELD_VALID_CUSTOM_LOGIC]]="",TRUE,DB_TBL_DATA_FIELDS[[#This Row],[FIELD_VALID_CUSTOM_LOGIC]]),DB_TBL_DATA_FIELDS[[#This Row],[RANGE_VALIDATION_PASSED_FLAG]])</f>
        <v>1</v>
      </c>
      <c r="M257" s="7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57" s="68">
        <f ca="1">IF(DB_TBL_DATA_FIELDS[[#This Row],[SHEET_REF_CALC]]="","",IF(DB_TBL_DATA_FIELDS[[#This Row],[FIELD_EMPTY_FLAG]],IF(NOT(DB_TBL_DATA_FIELDS[[#This Row],[FIELD_REQ_FLAG]]),-1,1),IF(NOT(DB_TBL_DATA_FIELDS[[#This Row],[FIELD_VALID_FLAG]]),0,2)))</f>
        <v>-1</v>
      </c>
      <c r="O257" s="68" t="str">
        <f ca="1">IFERROR(VLOOKUP(DB_TBL_DATA_FIELDS[[#This Row],[FIELD_STATUS_CODE]],DB_TBL_CONFIG_FIELDSTATUSCODES[#All],3,FALSE),"")</f>
        <v>Optional</v>
      </c>
      <c r="P257" s="68" t="str">
        <f ca="1">IFERROR(VLOOKUP(DB_TBL_DATA_FIELDS[[#This Row],[FIELD_STATUS_CODE]],DB_TBL_CONFIG_FIELDSTATUSCODES[#All],4,FALSE),"")</f>
        <v xml:space="preserve"> </v>
      </c>
      <c r="Q257" s="68" t="b">
        <f>TRUE</f>
        <v>1</v>
      </c>
      <c r="R257" s="68" t="b">
        <f>TRUE</f>
        <v>1</v>
      </c>
      <c r="S257" s="67" t="s">
        <v>11</v>
      </c>
      <c r="T257" s="68">
        <f ca="1">IF(DB_TBL_DATA_FIELDS[[#This Row],[RANGE_VALIDATION_FLAG]]="Text",LEN(DB_TBL_DATA_FIELDS[[#This Row],[FIELD_VALUE_RAW]]),IFERROR(VALUE(DB_TBL_DATA_FIELDS[[#This Row],[FIELD_VALUE_RAW]]),-1))</f>
        <v>0</v>
      </c>
      <c r="U257" s="68">
        <v>0</v>
      </c>
      <c r="V257" s="68">
        <v>250</v>
      </c>
      <c r="W257" s="68" t="b">
        <f ca="1">IF(NOT(DB_TBL_DATA_FIELDS[[#This Row],[RANGE_VALIDATION_ON_FLAG]]),TRUE,
AND(DB_TBL_DATA_FIELDS[[#This Row],[RANGE_VALUE_LEN]]&gt;=DB_TBL_DATA_FIELDS[[#This Row],[RANGE_VALIDATION_MIN]],DB_TBL_DATA_FIELDS[[#This Row],[RANGE_VALUE_LEN]]&lt;=DB_TBL_DATA_FIELDS[[#This Row],[RANGE_VALIDATION_MAX]]))</f>
        <v>1</v>
      </c>
      <c r="X257" s="68">
        <v>1</v>
      </c>
      <c r="Y257" s="68">
        <f ca="1">IF(DB_TBL_DATA_FIELDS[[#This Row],[PCT_CALC_SHOW_STATUS_CODE]]=1,
DB_TBL_DATA_FIELDS[[#This Row],[FIELD_STATUS_CODE]],
IF(AND(DB_TBL_DATA_FIELDS[[#This Row],[PCT_CALC_SHOW_STATUS_CODE]]=2,DB_TBL_DATA_FIELDS[[#This Row],[FIELD_STATUS_CODE]]=0),
DB_TBL_DATA_FIELDS[[#This Row],[FIELD_STATUS_CODE]],
"")
)</f>
        <v>-1</v>
      </c>
      <c r="Z257" s="81"/>
      <c r="AA257" s="73" t="s">
        <v>3102</v>
      </c>
      <c r="AB257" s="73" t="s">
        <v>3103</v>
      </c>
      <c r="AC257" s="68"/>
    </row>
    <row r="258" spans="1:29" ht="13.5" thickBot="1" x14ac:dyDescent="0.25">
      <c r="A258" s="104" t="s">
        <v>65</v>
      </c>
      <c r="B258" s="104"/>
      <c r="C258" s="105" t="str">
        <f ca="1">IF($H$10&lt;&gt;"R",IF(DB_TBL_DATA_FIELDS[[#This Row],[SHEET_REF_OWNER]]&lt;&gt;"",DB_TBL_DATA_FIELDS[[#This Row],[SHEET_REF_OWNER]],""),IF(DB_TBL_DATA_FIELDS[[#This Row],[SHEET_REF_RENTAL]]&lt;&gt;"",DB_TBL_DATA_FIELDS[[#This Row],[SHEET_REF_RENTAL]],""))</f>
        <v/>
      </c>
      <c r="D258" s="89" t="s">
        <v>3117</v>
      </c>
      <c r="E258" s="106" t="b">
        <v>1</v>
      </c>
      <c r="F258" s="107" t="b">
        <v>1</v>
      </c>
      <c r="G258" s="108" t="s">
        <v>3118</v>
      </c>
      <c r="H258" s="109" t="str">
        <f ca="1">IFERROR(VLOOKUP(DB_TBL_DATA_FIELDS[[#This Row],[FIELD_ID]],INDIRECT(DB_TBL_DATA_FIELDS[[#This Row],[SHEET_REF_CALC]]&amp;"!A:B"),2,FALSE),"")</f>
        <v/>
      </c>
      <c r="I258" s="110" t="str">
        <f ca="1">IF(DB_TBL_DATA_FIELDS[[#This Row],[FIELD_EMPTY_FLAG]],"",DB_TBL_DATA_FIELDS[[#This Row],[FIELD_VALUE_RAW]]&lt;=DATA_TOTAL_UNITS)</f>
        <v/>
      </c>
      <c r="J258" s="108" t="b">
        <f ca="1">(DB_TBL_DATA_FIELDS[[#This Row],[FIELD_VALUE_RAW]]="")</f>
        <v>1</v>
      </c>
      <c r="K258" s="108" t="s">
        <v>62</v>
      </c>
      <c r="L258" s="105" t="b">
        <f ca="1">AND(IF(DB_TBL_DATA_FIELDS[[#This Row],[FIELD_VALID_CUSTOM_LOGIC]]="",TRUE,DB_TBL_DATA_FIELDS[[#This Row],[FIELD_VALID_CUSTOM_LOGIC]]),DB_TBL_DATA_FIELDS[[#This Row],[RANGE_VALIDATION_PASSED_FLAG]])</f>
        <v>0</v>
      </c>
      <c r="M258" s="109"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58" s="105" t="str">
        <f ca="1">IF(DB_TBL_DATA_FIELDS[[#This Row],[SHEET_REF_CALC]]="","",IF(DB_TBL_DATA_FIELDS[[#This Row],[FIELD_EMPTY_FLAG]],IF(NOT(DB_TBL_DATA_FIELDS[[#This Row],[FIELD_REQ_FLAG]]),-1,1),IF(NOT(DB_TBL_DATA_FIELDS[[#This Row],[FIELD_VALID_FLAG]]),0,2)))</f>
        <v/>
      </c>
      <c r="O258" s="105" t="str">
        <f ca="1">IFERROR(VLOOKUP(DB_TBL_DATA_FIELDS[[#This Row],[FIELD_STATUS_CODE]],DB_TBL_CONFIG_FIELDSTATUSCODES[#All],3,FALSE),"")</f>
        <v/>
      </c>
      <c r="P258" s="105" t="str">
        <f ca="1">IFERROR(VLOOKUP(DB_TBL_DATA_FIELDS[[#This Row],[FIELD_STATUS_CODE]],DB_TBL_CONFIG_FIELDSTATUSCODES[#All],4,FALSE),"")</f>
        <v/>
      </c>
      <c r="Q258" s="105" t="b">
        <f>TRUE</f>
        <v>1</v>
      </c>
      <c r="R258" s="105" t="b">
        <f>TRUE</f>
        <v>1</v>
      </c>
      <c r="S258" s="104" t="s">
        <v>62</v>
      </c>
      <c r="T258" s="105">
        <f ca="1">IF(DB_TBL_DATA_FIELDS[[#This Row],[RANGE_VALIDATION_FLAG]]="Text",LEN(DB_TBL_DATA_FIELDS[[#This Row],[FIELD_VALUE_RAW]]),IFERROR(VALUE(DB_TBL_DATA_FIELDS[[#This Row],[FIELD_VALUE_RAW]]),-1))</f>
        <v>-1</v>
      </c>
      <c r="U258" s="105">
        <v>0</v>
      </c>
      <c r="V258" s="68">
        <v>999999999999</v>
      </c>
      <c r="W258" s="105" t="b">
        <f ca="1">IF(NOT(DB_TBL_DATA_FIELDS[[#This Row],[RANGE_VALIDATION_ON_FLAG]]),TRUE,
AND(DB_TBL_DATA_FIELDS[[#This Row],[RANGE_VALUE_LEN]]&gt;=DB_TBL_DATA_FIELDS[[#This Row],[RANGE_VALIDATION_MIN]],DB_TBL_DATA_FIELDS[[#This Row],[RANGE_VALUE_LEN]]&lt;=DB_TBL_DATA_FIELDS[[#This Row],[RANGE_VALIDATION_MAX]]))</f>
        <v>0</v>
      </c>
      <c r="X258" s="105">
        <v>1</v>
      </c>
      <c r="Y258" s="105" t="str">
        <f ca="1">IF(DB_TBL_DATA_FIELDS[[#This Row],[PCT_CALC_SHOW_STATUS_CODE]]=1,
DB_TBL_DATA_FIELDS[[#This Row],[FIELD_STATUS_CODE]],
IF(AND(DB_TBL_DATA_FIELDS[[#This Row],[PCT_CALC_SHOW_STATUS_CODE]]=2,DB_TBL_DATA_FIELDS[[#This Row],[FIELD_STATUS_CODE]]=0),
DB_TBL_DATA_FIELDS[[#This Row],[FIELD_STATUS_CODE]],
"")
)</f>
        <v/>
      </c>
      <c r="Z258" s="111" t="str">
        <f ca="1">IF(DB_TBL_DATA_FIELDS[[#This Row],[FIELD_VALID_CUSTOM_LOGIC]]="","",IF(NOT(DB_TBL_DATA_FIELDS[[#This Row],[FIELD_VALID_CUSTOM_LOGIC]]),"Exceeds Total Project Units",""))</f>
        <v/>
      </c>
      <c r="AA258" s="109" t="s">
        <v>3119</v>
      </c>
      <c r="AB258" s="109" t="s">
        <v>3120</v>
      </c>
      <c r="AC258" s="105"/>
    </row>
    <row r="259" spans="1:29" s="67" customFormat="1" ht="13.5" thickBot="1" x14ac:dyDescent="0.25">
      <c r="A259" s="67" t="s">
        <v>65</v>
      </c>
      <c r="B259" s="67" t="s">
        <v>64</v>
      </c>
      <c r="C259" s="69" t="str">
        <f ca="1">IF($H$10&lt;&gt;"R",IF(DB_TBL_DATA_FIELDS[[#This Row],[SHEET_REF_OWNER]]&lt;&gt;"",DB_TBL_DATA_FIELDS[[#This Row],[SHEET_REF_OWNER]],""),IF(DB_TBL_DATA_FIELDS[[#This Row],[SHEET_REF_RENTAL]]&lt;&gt;"",DB_TBL_DATA_FIELDS[[#This Row],[SHEET_REF_RENTAL]],""))</f>
        <v>RentalApp</v>
      </c>
      <c r="D259" s="65" t="s">
        <v>3570</v>
      </c>
      <c r="E259" s="67" t="b">
        <v>1</v>
      </c>
      <c r="F259" s="71" t="b">
        <v>1</v>
      </c>
      <c r="G259" s="72" t="s">
        <v>3571</v>
      </c>
      <c r="H259" s="76" t="str">
        <f ca="1">IF(OR(PROJ_STATE="",SCATTERED_SITE_FLG="",AND(SCATTERED_SITE_FLG=TRUE,PROJ_STATE_IN_DISTRICT_FLAG=TRUE,SCATTERED_SITE_ALLINDISTRICT_FLAG="")),"",OR(AND(PROJ_STATE_IN_DISTRICT_FLAG=TRUE,SCATTERED_SITE_FLG=FALSE),AND(PROJ_STATE_IN_DISTRICT_FLAG=TRUE,SCATTERED_SITE_FLG=TRUE,SCATTERED_SITE_ALLINDISTRICT_FLAG=TRUE)))</f>
        <v/>
      </c>
      <c r="I259" s="73"/>
      <c r="J259" s="72" t="b">
        <f ca="1">(DB_TBL_DATA_FIELDS[[#This Row],[FIELD_VALUE_RAW]]="")</f>
        <v>1</v>
      </c>
      <c r="K259" s="72" t="s">
        <v>209</v>
      </c>
      <c r="L259" s="68" t="b">
        <f>AND(IF(DB_TBL_DATA_FIELDS[[#This Row],[FIELD_VALID_CUSTOM_LOGIC]]="",TRUE,DB_TBL_DATA_FIELDS[[#This Row],[FIELD_VALID_CUSTOM_LOGIC]]),DB_TBL_DATA_FIELDS[[#This Row],[RANGE_VALIDATION_PASSED_FLAG]])</f>
        <v>1</v>
      </c>
      <c r="M259" s="7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59" s="68">
        <f ca="1">IF(DB_TBL_DATA_FIELDS[[#This Row],[SHEET_REF_CALC]]="","",IF(DB_TBL_DATA_FIELDS[[#This Row],[FIELD_EMPTY_FLAG]],IF(NOT(DB_TBL_DATA_FIELDS[[#This Row],[FIELD_REQ_FLAG]]),-1,1),IF(NOT(DB_TBL_DATA_FIELDS[[#This Row],[FIELD_VALID_FLAG]]),0,2)))</f>
        <v>1</v>
      </c>
      <c r="O259" s="68" t="str">
        <f ca="1">IFERROR(VLOOKUP(DB_TBL_DATA_FIELDS[[#This Row],[FIELD_STATUS_CODE]],DB_TBL_CONFIG_FIELDSTATUSCODES[#All],3,FALSE),"")</f>
        <v>Required</v>
      </c>
      <c r="P259" s="68" t="str">
        <f ca="1">IFERROR(VLOOKUP(DB_TBL_DATA_FIELDS[[#This Row],[FIELD_STATUS_CODE]],DB_TBL_CONFIG_FIELDSTATUSCODES[#All],4,FALSE),"")</f>
        <v>i</v>
      </c>
      <c r="Q259" s="68" t="b">
        <f>TRUE</f>
        <v>1</v>
      </c>
      <c r="R259" s="68" t="b">
        <v>0</v>
      </c>
      <c r="T259" s="68">
        <f ca="1">IF(DB_TBL_DATA_FIELDS[[#This Row],[RANGE_VALIDATION_FLAG]]="Text",LEN(DB_TBL_DATA_FIELDS[[#This Row],[FIELD_VALUE_RAW]]),IFERROR(VALUE(DB_TBL_DATA_FIELDS[[#This Row],[FIELD_VALUE_RAW]]),-1))</f>
        <v>-1</v>
      </c>
      <c r="U259" s="68">
        <v>0</v>
      </c>
      <c r="V259" s="81">
        <v>1</v>
      </c>
      <c r="W259" s="68" t="b">
        <f>IF(NOT(DB_TBL_DATA_FIELDS[[#This Row],[RANGE_VALIDATION_ON_FLAG]]),TRUE,
AND(DB_TBL_DATA_FIELDS[[#This Row],[RANGE_VALUE_LEN]]&gt;=DB_TBL_DATA_FIELDS[[#This Row],[RANGE_VALIDATION_MIN]],DB_TBL_DATA_FIELDS[[#This Row],[RANGE_VALUE_LEN]]&lt;=DB_TBL_DATA_FIELDS[[#This Row],[RANGE_VALIDATION_MAX]]))</f>
        <v>1</v>
      </c>
      <c r="X259" s="68">
        <v>1</v>
      </c>
      <c r="Y259" s="68">
        <f ca="1">IF(DB_TBL_DATA_FIELDS[[#This Row],[PCT_CALC_SHOW_STATUS_CODE]]=1,
DB_TBL_DATA_FIELDS[[#This Row],[FIELD_STATUS_CODE]],
IF(AND(DB_TBL_DATA_FIELDS[[#This Row],[PCT_CALC_SHOW_STATUS_CODE]]=2,DB_TBL_DATA_FIELDS[[#This Row],[FIELD_STATUS_CODE]]=0),
DB_TBL_DATA_FIELDS[[#This Row],[FIELD_STATUS_CODE]],
"")
)</f>
        <v>1</v>
      </c>
      <c r="Z259" s="68"/>
      <c r="AA259" s="73" t="s">
        <v>3569</v>
      </c>
      <c r="AB259" s="73" t="s">
        <v>3572</v>
      </c>
      <c r="AC259" s="68" t="s">
        <v>3566</v>
      </c>
    </row>
    <row r="260" spans="1:29" x14ac:dyDescent="0.2">
      <c r="A260" s="4" t="s">
        <v>65</v>
      </c>
      <c r="B260" s="4"/>
      <c r="C260" s="8" t="str">
        <f ca="1">IF($H$10&lt;&gt;"R",IF(DB_TBL_DATA_FIELDS[[#This Row],[SHEET_REF_OWNER]]&lt;&gt;"",DB_TBL_DATA_FIELDS[[#This Row],[SHEET_REF_OWNER]],""),IF(DB_TBL_DATA_FIELDS[[#This Row],[SHEET_REF_RENTAL]]&lt;&gt;"",DB_TBL_DATA_FIELDS[[#This Row],[SHEET_REF_RENTAL]],""))</f>
        <v/>
      </c>
      <c r="D260" s="89" t="s">
        <v>3123</v>
      </c>
      <c r="E260" s="1" t="b">
        <v>1</v>
      </c>
      <c r="F260" s="23" t="b">
        <v>1</v>
      </c>
      <c r="G260" s="2" t="s">
        <v>3124</v>
      </c>
      <c r="H260" s="10" t="str">
        <f ca="1">IFERROR(VLOOKUP(DB_TBL_DATA_FIELDS[[#This Row],[FIELD_ID]],INDIRECT(DB_TBL_DATA_FIELDS[[#This Row],[SHEET_REF_CALC]]&amp;"!A:B"),2,FALSE),"")</f>
        <v/>
      </c>
      <c r="I260" s="10"/>
      <c r="J260" s="2" t="b">
        <f ca="1">(DB_TBL_DATA_FIELDS[[#This Row],[FIELD_VALUE_RAW]]="")</f>
        <v>1</v>
      </c>
      <c r="K260" s="2" t="s">
        <v>209</v>
      </c>
      <c r="L260" s="7" t="b">
        <f>AND(IF(DB_TBL_DATA_FIELDS[[#This Row],[FIELD_VALID_CUSTOM_LOGIC]]="",TRUE,DB_TBL_DATA_FIELDS[[#This Row],[FIELD_VALID_CUSTOM_LOGIC]]),DB_TBL_DATA_FIELDS[[#This Row],[RANGE_VALIDATION_PASSED_FLAG]])</f>
        <v>1</v>
      </c>
      <c r="M260"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60" s="7" t="str">
        <f ca="1">IF(DB_TBL_DATA_FIELDS[[#This Row],[SHEET_REF_CALC]]="","",IF(DB_TBL_DATA_FIELDS[[#This Row],[FIELD_EMPTY_FLAG]],IF(NOT(DB_TBL_DATA_FIELDS[[#This Row],[FIELD_REQ_FLAG]]),-1,1),IF(NOT(DB_TBL_DATA_FIELDS[[#This Row],[FIELD_VALID_FLAG]]),0,2)))</f>
        <v/>
      </c>
      <c r="O260" s="7" t="str">
        <f ca="1">IFERROR(VLOOKUP(DB_TBL_DATA_FIELDS[[#This Row],[FIELD_STATUS_CODE]],DB_TBL_CONFIG_FIELDSTATUSCODES[#All],3,FALSE),"")</f>
        <v/>
      </c>
      <c r="P260" s="7" t="str">
        <f ca="1">IFERROR(VLOOKUP(DB_TBL_DATA_FIELDS[[#This Row],[FIELD_STATUS_CODE]],DB_TBL_CONFIG_FIELDSTATUSCODES[#All],4,FALSE),"")</f>
        <v/>
      </c>
      <c r="Q260" s="7" t="b">
        <f>TRUE</f>
        <v>1</v>
      </c>
      <c r="R260" s="7" t="b">
        <v>0</v>
      </c>
      <c r="S260" s="7"/>
      <c r="T260" s="7">
        <f ca="1">IF(DB_TBL_DATA_FIELDS[[#This Row],[RANGE_VALIDATION_FLAG]]="Text",LEN(DB_TBL_DATA_FIELDS[[#This Row],[FIELD_VALUE_RAW]]),IFERROR(VALUE(DB_TBL_DATA_FIELDS[[#This Row],[FIELD_VALUE_RAW]]),-1))</f>
        <v>-1</v>
      </c>
      <c r="U260" s="7">
        <v>0</v>
      </c>
      <c r="V260" s="7">
        <v>1</v>
      </c>
      <c r="W260" s="7" t="b">
        <f>IF(NOT(DB_TBL_DATA_FIELDS[[#This Row],[RANGE_VALIDATION_ON_FLAG]]),TRUE,
AND(DB_TBL_DATA_FIELDS[[#This Row],[RANGE_VALUE_LEN]]&gt;=DB_TBL_DATA_FIELDS[[#This Row],[RANGE_VALIDATION_MIN]],DB_TBL_DATA_FIELDS[[#This Row],[RANGE_VALUE_LEN]]&lt;=DB_TBL_DATA_FIELDS[[#This Row],[RANGE_VALIDATION_MAX]]))</f>
        <v>1</v>
      </c>
      <c r="X260" s="7">
        <v>1</v>
      </c>
      <c r="Y260" s="7" t="str">
        <f ca="1">IF(DB_TBL_DATA_FIELDS[[#This Row],[PCT_CALC_SHOW_STATUS_CODE]]=1,
DB_TBL_DATA_FIELDS[[#This Row],[FIELD_STATUS_CODE]],
IF(AND(DB_TBL_DATA_FIELDS[[#This Row],[PCT_CALC_SHOW_STATUS_CODE]]=2,DB_TBL_DATA_FIELDS[[#This Row],[FIELD_STATUS_CODE]]=0),
DB_TBL_DATA_FIELDS[[#This Row],[FIELD_STATUS_CODE]],
"")
)</f>
        <v/>
      </c>
      <c r="Z260" s="7"/>
      <c r="AA260" s="10" t="s">
        <v>3179</v>
      </c>
      <c r="AB260" s="10" t="s">
        <v>3208</v>
      </c>
      <c r="AC260" s="7"/>
    </row>
    <row r="261" spans="1:29" x14ac:dyDescent="0.2">
      <c r="A261" s="4" t="s">
        <v>65</v>
      </c>
      <c r="B261" s="4" t="s">
        <v>64</v>
      </c>
      <c r="C261" s="8" t="str">
        <f ca="1">IF($H$10&lt;&gt;"R",IF(DB_TBL_DATA_FIELDS[[#This Row],[SHEET_REF_OWNER]]&lt;&gt;"",DB_TBL_DATA_FIELDS[[#This Row],[SHEET_REF_OWNER]],""),IF(DB_TBL_DATA_FIELDS[[#This Row],[SHEET_REF_RENTAL]]&lt;&gt;"",DB_TBL_DATA_FIELDS[[#This Row],[SHEET_REF_RENTAL]],""))</f>
        <v>RentalApp</v>
      </c>
      <c r="D261" s="1" t="s">
        <v>3125</v>
      </c>
      <c r="E261" s="1" t="b">
        <v>1</v>
      </c>
      <c r="F261" s="112" t="b">
        <f ca="1">IF(SCATTERED_SITE_DOWNPAYMENT_FLAG=TRUE,FALSE,OR(PARTCONTROL_UNITS="",IF(DATA_TOTAL_UNITS="",TRUE,PARTCONTROL_UNITS&lt;DATA_TOTAL_UNITS)))</f>
        <v>1</v>
      </c>
      <c r="G261" s="2" t="s">
        <v>3126</v>
      </c>
      <c r="H261" s="10" t="str">
        <f ca="1">IFERROR(VLOOKUP(DB_TBL_DATA_FIELDS[[#This Row],[FIELD_ID]],INDIRECT(DB_TBL_DATA_FIELDS[[#This Row],[SHEET_REF_CALC]]&amp;"!A:B"),2,FALSE),"")</f>
        <v/>
      </c>
      <c r="I261" s="44" t="str">
        <f ca="1">IF(DB_TBL_DATA_FIELDS[[#This Row],[FIELD_EMPTY_FLAG]],"",IF(SCATTERED_SITE_DOWNPAYMENT_FLAG=TRUE,FALSE,(FULLCONTROL_UNITS+IF(PARTCONTROL_UNITS="",0,PARTCONTROL_UNITS))&lt;=DATA_TOTAL_UNITS))</f>
        <v/>
      </c>
      <c r="J261" s="2" t="b">
        <f ca="1">(DB_TBL_DATA_FIELDS[[#This Row],[FIELD_VALUE_RAW]]="")</f>
        <v>1</v>
      </c>
      <c r="K261" s="2" t="s">
        <v>62</v>
      </c>
      <c r="L261" s="7" t="b">
        <f ca="1">AND(IF(DB_TBL_DATA_FIELDS[[#This Row],[FIELD_VALID_CUSTOM_LOGIC]]="",TRUE,DB_TBL_DATA_FIELDS[[#This Row],[FIELD_VALID_CUSTOM_LOGIC]]),DB_TBL_DATA_FIELDS[[#This Row],[RANGE_VALIDATION_PASSED_FLAG]])</f>
        <v>0</v>
      </c>
      <c r="M261"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61" s="7">
        <f ca="1">IF(DB_TBL_DATA_FIELDS[[#This Row],[SHEET_REF_CALC]]="","",IF(DB_TBL_DATA_FIELDS[[#This Row],[FIELD_EMPTY_FLAG]],IF(NOT(DB_TBL_DATA_FIELDS[[#This Row],[FIELD_REQ_FLAG]]),-1,1),IF(NOT(DB_TBL_DATA_FIELDS[[#This Row],[FIELD_VALID_FLAG]]),0,2)))</f>
        <v>1</v>
      </c>
      <c r="O261" s="7" t="str">
        <f ca="1">IFERROR(VLOOKUP(DB_TBL_DATA_FIELDS[[#This Row],[FIELD_STATUS_CODE]],DB_TBL_CONFIG_FIELDSTATUSCODES[#All],3,FALSE),"")</f>
        <v>Required</v>
      </c>
      <c r="P261" s="7" t="str">
        <f ca="1">IFERROR(VLOOKUP(DB_TBL_DATA_FIELDS[[#This Row],[FIELD_STATUS_CODE]],DB_TBL_CONFIG_FIELDSTATUSCODES[#All],4,FALSE),"")</f>
        <v>i</v>
      </c>
      <c r="Q261" s="7" t="b">
        <f>TRUE</f>
        <v>1</v>
      </c>
      <c r="R261" s="7" t="b">
        <f>TRUE</f>
        <v>1</v>
      </c>
      <c r="S261" s="1" t="s">
        <v>62</v>
      </c>
      <c r="T261" s="7">
        <f ca="1">IF(DB_TBL_DATA_FIELDS[[#This Row],[RANGE_VALIDATION_FLAG]]="Text",LEN(DB_TBL_DATA_FIELDS[[#This Row],[FIELD_VALUE_RAW]]),IFERROR(VALUE(DB_TBL_DATA_FIELDS[[#This Row],[FIELD_VALUE_RAW]]),-1))</f>
        <v>-1</v>
      </c>
      <c r="U261" s="7">
        <v>0</v>
      </c>
      <c r="V261" s="8">
        <v>999999999999</v>
      </c>
      <c r="W261" s="7" t="b">
        <f ca="1">IF(NOT(DB_TBL_DATA_FIELDS[[#This Row],[RANGE_VALIDATION_ON_FLAG]]),TRUE,
AND(DB_TBL_DATA_FIELDS[[#This Row],[RANGE_VALUE_LEN]]&gt;=DB_TBL_DATA_FIELDS[[#This Row],[RANGE_VALIDATION_MIN]],DB_TBL_DATA_FIELDS[[#This Row],[RANGE_VALUE_LEN]]&lt;=DB_TBL_DATA_FIELDS[[#This Row],[RANGE_VALIDATION_MAX]]))</f>
        <v>0</v>
      </c>
      <c r="X261" s="7">
        <v>1</v>
      </c>
      <c r="Y261" s="7">
        <f ca="1">IF(DB_TBL_DATA_FIELDS[[#This Row],[PCT_CALC_SHOW_STATUS_CODE]]=1,
DB_TBL_DATA_FIELDS[[#This Row],[FIELD_STATUS_CODE]],
IF(AND(DB_TBL_DATA_FIELDS[[#This Row],[PCT_CALC_SHOW_STATUS_CODE]]=2,DB_TBL_DATA_FIELDS[[#This Row],[FIELD_STATUS_CODE]]=0),
DB_TBL_DATA_FIELDS[[#This Row],[FIELD_STATUS_CODE]],
"")
)</f>
        <v>1</v>
      </c>
      <c r="Z261" s="101" t="str">
        <f ca="1">IF(DB_TBL_DATA_FIELDS[[#This Row],[FIELD_VALID_CUSTOM_LOGIC]]="","",IF(AND(NOT(DB_TBL_DATA_FIELDS[[#This Row],[FIELD_VALID_CUSTOM_LOGIC]]),SCATTERED_SITE_DOWNPAYMENT_FLAG&lt;&gt;TRUE),IF(PARTCONTROL_UNITS&lt;&gt;"","Full + Partial Site Control Units Exceeds Total Project Units", "Exceeds Total Project Units"),""))</f>
        <v/>
      </c>
      <c r="AA261" s="10" t="s">
        <v>3180</v>
      </c>
      <c r="AB261" s="10" t="s">
        <v>3208</v>
      </c>
      <c r="AC261" s="7"/>
    </row>
    <row r="262" spans="1:29" x14ac:dyDescent="0.2">
      <c r="A262" s="4" t="s">
        <v>65</v>
      </c>
      <c r="B262" s="4" t="s">
        <v>64</v>
      </c>
      <c r="C262" s="8" t="str">
        <f ca="1">IF($H$10&lt;&gt;"R",IF(DB_TBL_DATA_FIELDS[[#This Row],[SHEET_REF_OWNER]]&lt;&gt;"",DB_TBL_DATA_FIELDS[[#This Row],[SHEET_REF_OWNER]],""),IF(DB_TBL_DATA_FIELDS[[#This Row],[SHEET_REF_RENTAL]]&lt;&gt;"",DB_TBL_DATA_FIELDS[[#This Row],[SHEET_REF_RENTAL]],""))</f>
        <v>RentalApp</v>
      </c>
      <c r="D262" s="1" t="s">
        <v>3128</v>
      </c>
      <c r="E262" s="1" t="b">
        <v>1</v>
      </c>
      <c r="F262" s="112" t="b">
        <f ca="1">IF(SCATTERED_SITE_DOWNPAYMENT_FLAG=TRUE,FALSE,IF(AND(FULLCONTROL_UNITS&lt;&gt;"",FULLCONTROL_UNITS&gt;0),TRUE,FALSE))</f>
        <v>0</v>
      </c>
      <c r="G262" s="2" t="s">
        <v>3127</v>
      </c>
      <c r="H262" s="10" t="str">
        <f ca="1">IFERROR(VLOOKUP(DB_TBL_DATA_FIELDS[[#This Row],[FIELD_ID]],INDIRECT(DB_TBL_DATA_FIELDS[[#This Row],[SHEET_REF_CALC]]&amp;"!A:B"),2,FALSE),"")</f>
        <v/>
      </c>
      <c r="I262" s="44" t="str">
        <f ca="1">IF(DB_TBL_DATA_FIELDS[[#This Row],[FIELD_EMPTY_FLAG]],"",IF(SCATTERED_SITE_DOWNPAYMENT_FLAG=TRUE,FALSE,IF(OR(FULLCONTROL_UNITS="",FULLCONTROL_UNITS=0),FALSE,TRUE)))</f>
        <v/>
      </c>
      <c r="J262" s="2" t="b">
        <f ca="1">(DB_TBL_DATA_FIELDS[[#This Row],[FIELD_VALUE_RAW]]="")</f>
        <v>1</v>
      </c>
      <c r="K262" s="2" t="s">
        <v>11</v>
      </c>
      <c r="L262" s="7" t="b">
        <f ca="1">AND(IF(DB_TBL_DATA_FIELDS[[#This Row],[FIELD_VALID_CUSTOM_LOGIC]]="",TRUE,DB_TBL_DATA_FIELDS[[#This Row],[FIELD_VALID_CUSTOM_LOGIC]]),DB_TBL_DATA_FIELDS[[#This Row],[RANGE_VALIDATION_PASSED_FLAG]])</f>
        <v>1</v>
      </c>
      <c r="M262"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62" s="7">
        <f ca="1">IF(DB_TBL_DATA_FIELDS[[#This Row],[SHEET_REF_CALC]]="","",IF(DB_TBL_DATA_FIELDS[[#This Row],[FIELD_EMPTY_FLAG]],IF(NOT(DB_TBL_DATA_FIELDS[[#This Row],[FIELD_REQ_FLAG]]),-1,1),IF(NOT(DB_TBL_DATA_FIELDS[[#This Row],[FIELD_VALID_FLAG]]),0,2)))</f>
        <v>-1</v>
      </c>
      <c r="O262" s="7" t="str">
        <f ca="1">IFERROR(VLOOKUP(DB_TBL_DATA_FIELDS[[#This Row],[FIELD_STATUS_CODE]],DB_TBL_CONFIG_FIELDSTATUSCODES[#All],3,FALSE),"")</f>
        <v>Optional</v>
      </c>
      <c r="P262" s="7" t="str">
        <f ca="1">IFERROR(VLOOKUP(DB_TBL_DATA_FIELDS[[#This Row],[FIELD_STATUS_CODE]],DB_TBL_CONFIG_FIELDSTATUSCODES[#All],4,FALSE),"")</f>
        <v xml:space="preserve"> </v>
      </c>
      <c r="Q262" s="7" t="b">
        <f>TRUE</f>
        <v>1</v>
      </c>
      <c r="R262" s="7" t="b">
        <f>TRUE</f>
        <v>1</v>
      </c>
      <c r="S262" s="1" t="s">
        <v>11</v>
      </c>
      <c r="T262" s="7">
        <f ca="1">IF(DB_TBL_DATA_FIELDS[[#This Row],[RANGE_VALIDATION_FLAG]]="Text",LEN(DB_TBL_DATA_FIELDS[[#This Row],[FIELD_VALUE_RAW]]),IFERROR(VALUE(DB_TBL_DATA_FIELDS[[#This Row],[FIELD_VALUE_RAW]]),-1))</f>
        <v>0</v>
      </c>
      <c r="U262" s="7">
        <v>0</v>
      </c>
      <c r="V262" s="7">
        <v>32767</v>
      </c>
      <c r="W262" s="7" t="b">
        <f ca="1">IF(NOT(DB_TBL_DATA_FIELDS[[#This Row],[RANGE_VALIDATION_ON_FLAG]]),TRUE,
AND(DB_TBL_DATA_FIELDS[[#This Row],[RANGE_VALUE_LEN]]&gt;=DB_TBL_DATA_FIELDS[[#This Row],[RANGE_VALIDATION_MIN]],DB_TBL_DATA_FIELDS[[#This Row],[RANGE_VALUE_LEN]]&lt;=DB_TBL_DATA_FIELDS[[#This Row],[RANGE_VALIDATION_MAX]]))</f>
        <v>1</v>
      </c>
      <c r="X262" s="7">
        <v>1</v>
      </c>
      <c r="Y262" s="7">
        <f ca="1">IF(DB_TBL_DATA_FIELDS[[#This Row],[PCT_CALC_SHOW_STATUS_CODE]]=1,
DB_TBL_DATA_FIELDS[[#This Row],[FIELD_STATUS_CODE]],
IF(AND(DB_TBL_DATA_FIELDS[[#This Row],[PCT_CALC_SHOW_STATUS_CODE]]=2,DB_TBL_DATA_FIELDS[[#This Row],[FIELD_STATUS_CODE]]=0),
DB_TBL_DATA_FIELDS[[#This Row],[FIELD_STATUS_CODE]],
"")
)</f>
        <v>-1</v>
      </c>
      <c r="Z262" s="7"/>
      <c r="AA262" s="10" t="s">
        <v>3181</v>
      </c>
      <c r="AB262" s="10" t="s">
        <v>3208</v>
      </c>
      <c r="AC262" s="7"/>
    </row>
    <row r="263" spans="1:29" x14ac:dyDescent="0.2">
      <c r="A263" s="4" t="s">
        <v>65</v>
      </c>
      <c r="B263" s="4" t="s">
        <v>64</v>
      </c>
      <c r="C263" s="8" t="str">
        <f ca="1">IF($H$10&lt;&gt;"R",IF(DB_TBL_DATA_FIELDS[[#This Row],[SHEET_REF_OWNER]]&lt;&gt;"",DB_TBL_DATA_FIELDS[[#This Row],[SHEET_REF_OWNER]],""),IF(DB_TBL_DATA_FIELDS[[#This Row],[SHEET_REF_RENTAL]]&lt;&gt;"",DB_TBL_DATA_FIELDS[[#This Row],[SHEET_REF_RENTAL]],""))</f>
        <v>RentalApp</v>
      </c>
      <c r="D263" s="1" t="s">
        <v>3129</v>
      </c>
      <c r="E263" s="1" t="b">
        <v>0</v>
      </c>
      <c r="F263" s="112" t="b">
        <f t="shared" ref="F263:F267" ca="1" si="6">IF(SCATTERED_SITE_DOWNPAYMENT_FLAG=TRUE,FALSE,IF(AND(FULLCONTROL_UNITS&lt;&gt;"",FULLCONTROL_UNITS&gt;0),TRUE,FALSE))</f>
        <v>0</v>
      </c>
      <c r="G263" s="2" t="s">
        <v>3130</v>
      </c>
      <c r="H263" s="10" t="str">
        <f ca="1">IFERROR(VLOOKUP(DB_TBL_DATA_FIELDS[[#This Row],[FIELD_ID]],INDIRECT(DB_TBL_DATA_FIELDS[[#This Row],[SHEET_REF_CALC]]&amp;"!A:B"),2,FALSE),"")</f>
        <v/>
      </c>
      <c r="I263" s="44" t="str">
        <f ca="1">IF(DB_TBL_DATA_FIELDS[[#This Row],[FIELD_EMPTY_FLAG]],"",IF(SCATTERED_SITE_DOWNPAYMENT_FLAG=TRUE,FALSE,IF(OR(FULLCONTROL_UNITS="",FULLCONTROL_UNITS=0),FALSE,TRUE)))</f>
        <v/>
      </c>
      <c r="J263" s="2" t="b">
        <f ca="1">(DB_TBL_DATA_FIELDS[[#This Row],[FIELD_VALUE_RAW]]="")</f>
        <v>1</v>
      </c>
      <c r="K263" s="2" t="s">
        <v>11</v>
      </c>
      <c r="L263" s="7" t="b">
        <f ca="1">AND(IF(DB_TBL_DATA_FIELDS[[#This Row],[FIELD_VALID_CUSTOM_LOGIC]]="",TRUE,DB_TBL_DATA_FIELDS[[#This Row],[FIELD_VALID_CUSTOM_LOGIC]]),DB_TBL_DATA_FIELDS[[#This Row],[RANGE_VALIDATION_PASSED_FLAG]])</f>
        <v>1</v>
      </c>
      <c r="M263"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63" s="7">
        <f ca="1">IF(DB_TBL_DATA_FIELDS[[#This Row],[SHEET_REF_CALC]]="","",IF(DB_TBL_DATA_FIELDS[[#This Row],[FIELD_EMPTY_FLAG]],IF(NOT(DB_TBL_DATA_FIELDS[[#This Row],[FIELD_REQ_FLAG]]),-1,1),IF(NOT(DB_TBL_DATA_FIELDS[[#This Row],[FIELD_VALID_FLAG]]),0,2)))</f>
        <v>-1</v>
      </c>
      <c r="O263" s="7" t="str">
        <f ca="1">IFERROR(VLOOKUP(DB_TBL_DATA_FIELDS[[#This Row],[FIELD_STATUS_CODE]],DB_TBL_CONFIG_FIELDSTATUSCODES[#All],3,FALSE),"")</f>
        <v>Optional</v>
      </c>
      <c r="P263" s="7" t="str">
        <f ca="1">IFERROR(VLOOKUP(DB_TBL_DATA_FIELDS[[#This Row],[FIELD_STATUS_CODE]],DB_TBL_CONFIG_FIELDSTATUSCODES[#All],4,FALSE),"")</f>
        <v xml:space="preserve"> </v>
      </c>
      <c r="Q263" s="7" t="b">
        <f>TRUE</f>
        <v>1</v>
      </c>
      <c r="R263" s="7" t="b">
        <f>TRUE</f>
        <v>1</v>
      </c>
      <c r="S263" s="1" t="s">
        <v>11</v>
      </c>
      <c r="T263" s="7">
        <f ca="1">IF(DB_TBL_DATA_FIELDS[[#This Row],[RANGE_VALIDATION_FLAG]]="Text",LEN(DB_TBL_DATA_FIELDS[[#This Row],[FIELD_VALUE_RAW]]),IFERROR(VALUE(DB_TBL_DATA_FIELDS[[#This Row],[FIELD_VALUE_RAW]]),-1))</f>
        <v>0</v>
      </c>
      <c r="U263" s="7">
        <v>0</v>
      </c>
      <c r="V263" s="7">
        <v>32767</v>
      </c>
      <c r="W263" s="7" t="b">
        <f ca="1">IF(NOT(DB_TBL_DATA_FIELDS[[#This Row],[RANGE_VALIDATION_ON_FLAG]]),TRUE,
AND(DB_TBL_DATA_FIELDS[[#This Row],[RANGE_VALUE_LEN]]&gt;=DB_TBL_DATA_FIELDS[[#This Row],[RANGE_VALIDATION_MIN]],DB_TBL_DATA_FIELDS[[#This Row],[RANGE_VALUE_LEN]]&lt;=DB_TBL_DATA_FIELDS[[#This Row],[RANGE_VALIDATION_MAX]]))</f>
        <v>1</v>
      </c>
      <c r="X263" s="7">
        <v>1</v>
      </c>
      <c r="Y263" s="7">
        <f ca="1">IF(DB_TBL_DATA_FIELDS[[#This Row],[PCT_CALC_SHOW_STATUS_CODE]]=1,
DB_TBL_DATA_FIELDS[[#This Row],[FIELD_STATUS_CODE]],
IF(AND(DB_TBL_DATA_FIELDS[[#This Row],[PCT_CALC_SHOW_STATUS_CODE]]=2,DB_TBL_DATA_FIELDS[[#This Row],[FIELD_STATUS_CODE]]=0),
DB_TBL_DATA_FIELDS[[#This Row],[FIELD_STATUS_CODE]],
"")
)</f>
        <v>-1</v>
      </c>
      <c r="Z263" s="7"/>
      <c r="AA263" s="10" t="s">
        <v>3182</v>
      </c>
      <c r="AB263" s="10" t="s">
        <v>3208</v>
      </c>
      <c r="AC263" s="7"/>
    </row>
    <row r="264" spans="1:29" x14ac:dyDescent="0.2">
      <c r="A264" s="4" t="s">
        <v>65</v>
      </c>
      <c r="B264" s="4" t="s">
        <v>64</v>
      </c>
      <c r="C264" s="8" t="str">
        <f ca="1">IF($H$10&lt;&gt;"R",IF(DB_TBL_DATA_FIELDS[[#This Row],[SHEET_REF_OWNER]]&lt;&gt;"",DB_TBL_DATA_FIELDS[[#This Row],[SHEET_REF_OWNER]],""),IF(DB_TBL_DATA_FIELDS[[#This Row],[SHEET_REF_RENTAL]]&lt;&gt;"",DB_TBL_DATA_FIELDS[[#This Row],[SHEET_REF_RENTAL]],""))</f>
        <v>RentalApp</v>
      </c>
      <c r="D264" s="1" t="s">
        <v>3131</v>
      </c>
      <c r="E264" s="1" t="b">
        <v>0</v>
      </c>
      <c r="F264" s="112" t="b">
        <f t="shared" ca="1" si="6"/>
        <v>0</v>
      </c>
      <c r="G264" s="2" t="s">
        <v>3132</v>
      </c>
      <c r="H264" s="10" t="str">
        <f ca="1">IFERROR(VLOOKUP(DB_TBL_DATA_FIELDS[[#This Row],[FIELD_ID]],INDIRECT(DB_TBL_DATA_FIELDS[[#This Row],[SHEET_REF_CALC]]&amp;"!A:B"),2,FALSE),"")</f>
        <v/>
      </c>
      <c r="I264" s="44" t="str">
        <f ca="1">IF(DB_TBL_DATA_FIELDS[[#This Row],[FIELD_EMPTY_FLAG]],"",IF(SCATTERED_SITE_DOWNPAYMENT_FLAG=TRUE,FALSE,IF(OR(FULLCONTROL_UNITS="",FULLCONTROL_UNITS=0),FALSE,TRUE)))</f>
        <v/>
      </c>
      <c r="J264" s="2" t="b">
        <f ca="1">(DB_TBL_DATA_FIELDS[[#This Row],[FIELD_VALUE_RAW]]="")</f>
        <v>1</v>
      </c>
      <c r="K264" s="2" t="s">
        <v>11</v>
      </c>
      <c r="L264" s="7" t="b">
        <f ca="1">AND(IF(DB_TBL_DATA_FIELDS[[#This Row],[FIELD_VALID_CUSTOM_LOGIC]]="",TRUE,DB_TBL_DATA_FIELDS[[#This Row],[FIELD_VALID_CUSTOM_LOGIC]]),DB_TBL_DATA_FIELDS[[#This Row],[RANGE_VALIDATION_PASSED_FLAG]])</f>
        <v>1</v>
      </c>
      <c r="M264"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64" s="7">
        <f ca="1">IF(DB_TBL_DATA_FIELDS[[#This Row],[SHEET_REF_CALC]]="","",IF(DB_TBL_DATA_FIELDS[[#This Row],[FIELD_EMPTY_FLAG]],IF(NOT(DB_TBL_DATA_FIELDS[[#This Row],[FIELD_REQ_FLAG]]),-1,1),IF(NOT(DB_TBL_DATA_FIELDS[[#This Row],[FIELD_VALID_FLAG]]),0,2)))</f>
        <v>-1</v>
      </c>
      <c r="O264" s="7" t="str">
        <f ca="1">IFERROR(VLOOKUP(DB_TBL_DATA_FIELDS[[#This Row],[FIELD_STATUS_CODE]],DB_TBL_CONFIG_FIELDSTATUSCODES[#All],3,FALSE),"")</f>
        <v>Optional</v>
      </c>
      <c r="P264" s="7" t="str">
        <f ca="1">IFERROR(VLOOKUP(DB_TBL_DATA_FIELDS[[#This Row],[FIELD_STATUS_CODE]],DB_TBL_CONFIG_FIELDSTATUSCODES[#All],4,FALSE),"")</f>
        <v xml:space="preserve"> </v>
      </c>
      <c r="Q264" s="7" t="b">
        <f>TRUE</f>
        <v>1</v>
      </c>
      <c r="R264" s="7" t="b">
        <f>TRUE</f>
        <v>1</v>
      </c>
      <c r="S264" s="1" t="s">
        <v>11</v>
      </c>
      <c r="T264" s="7">
        <f ca="1">IF(DB_TBL_DATA_FIELDS[[#This Row],[RANGE_VALIDATION_FLAG]]="Text",LEN(DB_TBL_DATA_FIELDS[[#This Row],[FIELD_VALUE_RAW]]),IFERROR(VALUE(DB_TBL_DATA_FIELDS[[#This Row],[FIELD_VALUE_RAW]]),-1))</f>
        <v>0</v>
      </c>
      <c r="U264" s="7">
        <v>0</v>
      </c>
      <c r="V264" s="7">
        <v>32767</v>
      </c>
      <c r="W264" s="7" t="b">
        <f ca="1">IF(NOT(DB_TBL_DATA_FIELDS[[#This Row],[RANGE_VALIDATION_ON_FLAG]]),TRUE,
AND(DB_TBL_DATA_FIELDS[[#This Row],[RANGE_VALUE_LEN]]&gt;=DB_TBL_DATA_FIELDS[[#This Row],[RANGE_VALIDATION_MIN]],DB_TBL_DATA_FIELDS[[#This Row],[RANGE_VALUE_LEN]]&lt;=DB_TBL_DATA_FIELDS[[#This Row],[RANGE_VALIDATION_MAX]]))</f>
        <v>1</v>
      </c>
      <c r="X264" s="7">
        <v>1</v>
      </c>
      <c r="Y264" s="7">
        <f ca="1">IF(DB_TBL_DATA_FIELDS[[#This Row],[PCT_CALC_SHOW_STATUS_CODE]]=1,
DB_TBL_DATA_FIELDS[[#This Row],[FIELD_STATUS_CODE]],
IF(AND(DB_TBL_DATA_FIELDS[[#This Row],[PCT_CALC_SHOW_STATUS_CODE]]=2,DB_TBL_DATA_FIELDS[[#This Row],[FIELD_STATUS_CODE]]=0),
DB_TBL_DATA_FIELDS[[#This Row],[FIELD_STATUS_CODE]],
"")
)</f>
        <v>-1</v>
      </c>
      <c r="Z264" s="7"/>
      <c r="AA264" s="10" t="s">
        <v>3183</v>
      </c>
      <c r="AB264" s="10" t="s">
        <v>3208</v>
      </c>
      <c r="AC264" s="7"/>
    </row>
    <row r="265" spans="1:29" x14ac:dyDescent="0.2">
      <c r="A265" s="4" t="s">
        <v>65</v>
      </c>
      <c r="B265" s="4" t="s">
        <v>64</v>
      </c>
      <c r="C265" s="8" t="str">
        <f ca="1">IF($H$10&lt;&gt;"R",IF(DB_TBL_DATA_FIELDS[[#This Row],[SHEET_REF_OWNER]]&lt;&gt;"",DB_TBL_DATA_FIELDS[[#This Row],[SHEET_REF_OWNER]],""),IF(DB_TBL_DATA_FIELDS[[#This Row],[SHEET_REF_RENTAL]]&lt;&gt;"",DB_TBL_DATA_FIELDS[[#This Row],[SHEET_REF_RENTAL]],""))</f>
        <v>RentalApp</v>
      </c>
      <c r="D265" s="1" t="s">
        <v>3133</v>
      </c>
      <c r="E265" s="1" t="b">
        <v>0</v>
      </c>
      <c r="F265" s="112" t="b">
        <f t="shared" ca="1" si="6"/>
        <v>0</v>
      </c>
      <c r="G265" s="2" t="s">
        <v>3134</v>
      </c>
      <c r="H265" s="10" t="str">
        <f ca="1">IFERROR(VLOOKUP(DB_TBL_DATA_FIELDS[[#This Row],[FIELD_ID]],INDIRECT(DB_TBL_DATA_FIELDS[[#This Row],[SHEET_REF_CALC]]&amp;"!A:B"),2,FALSE),"")</f>
        <v/>
      </c>
      <c r="I265" s="44" t="str">
        <f ca="1">IF(DB_TBL_DATA_FIELDS[[#This Row],[FIELD_EMPTY_FLAG]],"",IF(SCATTERED_SITE_DOWNPAYMENT_FLAG=TRUE,FALSE,IF(OR(FULLCONTROL_UNITS="",FULLCONTROL_UNITS=0),FALSE,TRUE)))</f>
        <v/>
      </c>
      <c r="J265" s="2" t="b">
        <f ca="1">(DB_TBL_DATA_FIELDS[[#This Row],[FIELD_VALUE_RAW]]="")</f>
        <v>1</v>
      </c>
      <c r="K265" s="2" t="s">
        <v>11</v>
      </c>
      <c r="L265" s="7" t="b">
        <f ca="1">AND(IF(DB_TBL_DATA_FIELDS[[#This Row],[FIELD_VALID_CUSTOM_LOGIC]]="",TRUE,DB_TBL_DATA_FIELDS[[#This Row],[FIELD_VALID_CUSTOM_LOGIC]]),DB_TBL_DATA_FIELDS[[#This Row],[RANGE_VALIDATION_PASSED_FLAG]])</f>
        <v>1</v>
      </c>
      <c r="M265"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65" s="7">
        <f ca="1">IF(DB_TBL_DATA_FIELDS[[#This Row],[SHEET_REF_CALC]]="","",IF(DB_TBL_DATA_FIELDS[[#This Row],[FIELD_EMPTY_FLAG]],IF(NOT(DB_TBL_DATA_FIELDS[[#This Row],[FIELD_REQ_FLAG]]),-1,1),IF(NOT(DB_TBL_DATA_FIELDS[[#This Row],[FIELD_VALID_FLAG]]),0,2)))</f>
        <v>-1</v>
      </c>
      <c r="O265" s="7" t="str">
        <f ca="1">IFERROR(VLOOKUP(DB_TBL_DATA_FIELDS[[#This Row],[FIELD_STATUS_CODE]],DB_TBL_CONFIG_FIELDSTATUSCODES[#All],3,FALSE),"")</f>
        <v>Optional</v>
      </c>
      <c r="P265" s="7" t="str">
        <f ca="1">IFERROR(VLOOKUP(DB_TBL_DATA_FIELDS[[#This Row],[FIELD_STATUS_CODE]],DB_TBL_CONFIG_FIELDSTATUSCODES[#All],4,FALSE),"")</f>
        <v xml:space="preserve"> </v>
      </c>
      <c r="Q265" s="7" t="b">
        <f>TRUE</f>
        <v>1</v>
      </c>
      <c r="R265" s="7" t="b">
        <f>TRUE</f>
        <v>1</v>
      </c>
      <c r="S265" s="1" t="s">
        <v>11</v>
      </c>
      <c r="T265" s="7">
        <f ca="1">IF(DB_TBL_DATA_FIELDS[[#This Row],[RANGE_VALIDATION_FLAG]]="Text",LEN(DB_TBL_DATA_FIELDS[[#This Row],[FIELD_VALUE_RAW]]),IFERROR(VALUE(DB_TBL_DATA_FIELDS[[#This Row],[FIELD_VALUE_RAW]]),-1))</f>
        <v>0</v>
      </c>
      <c r="U265" s="7">
        <v>0</v>
      </c>
      <c r="V265" s="7">
        <v>32767</v>
      </c>
      <c r="W265" s="7" t="b">
        <f ca="1">IF(NOT(DB_TBL_DATA_FIELDS[[#This Row],[RANGE_VALIDATION_ON_FLAG]]),TRUE,
AND(DB_TBL_DATA_FIELDS[[#This Row],[RANGE_VALUE_LEN]]&gt;=DB_TBL_DATA_FIELDS[[#This Row],[RANGE_VALIDATION_MIN]],DB_TBL_DATA_FIELDS[[#This Row],[RANGE_VALUE_LEN]]&lt;=DB_TBL_DATA_FIELDS[[#This Row],[RANGE_VALIDATION_MAX]]))</f>
        <v>1</v>
      </c>
      <c r="X265" s="7">
        <v>1</v>
      </c>
      <c r="Y265" s="7">
        <f ca="1">IF(DB_TBL_DATA_FIELDS[[#This Row],[PCT_CALC_SHOW_STATUS_CODE]]=1,
DB_TBL_DATA_FIELDS[[#This Row],[FIELD_STATUS_CODE]],
IF(AND(DB_TBL_DATA_FIELDS[[#This Row],[PCT_CALC_SHOW_STATUS_CODE]]=2,DB_TBL_DATA_FIELDS[[#This Row],[FIELD_STATUS_CODE]]=0),
DB_TBL_DATA_FIELDS[[#This Row],[FIELD_STATUS_CODE]],
"")
)</f>
        <v>-1</v>
      </c>
      <c r="Z265" s="7"/>
      <c r="AA265" s="10" t="s">
        <v>3184</v>
      </c>
      <c r="AB265" s="10" t="s">
        <v>3208</v>
      </c>
      <c r="AC265" s="7"/>
    </row>
    <row r="266" spans="1:29" x14ac:dyDescent="0.2">
      <c r="A266" s="4" t="s">
        <v>65</v>
      </c>
      <c r="B266" s="4" t="s">
        <v>64</v>
      </c>
      <c r="C266" s="8" t="str">
        <f ca="1">IF($H$10&lt;&gt;"R",IF(DB_TBL_DATA_FIELDS[[#This Row],[SHEET_REF_OWNER]]&lt;&gt;"",DB_TBL_DATA_FIELDS[[#This Row],[SHEET_REF_OWNER]],""),IF(DB_TBL_DATA_FIELDS[[#This Row],[SHEET_REF_RENTAL]]&lt;&gt;"",DB_TBL_DATA_FIELDS[[#This Row],[SHEET_REF_RENTAL]],""))</f>
        <v>RentalApp</v>
      </c>
      <c r="D266" s="1" t="s">
        <v>3135</v>
      </c>
      <c r="E266" s="1" t="b">
        <v>0</v>
      </c>
      <c r="F266" s="112" t="b">
        <f t="shared" ca="1" si="6"/>
        <v>0</v>
      </c>
      <c r="G266" s="2" t="s">
        <v>3136</v>
      </c>
      <c r="H266" s="29" t="str">
        <f ca="1">IFERROR(ROUND(VLOOKUP(DB_TBL_DATA_FIELDS[[#This Row],[FIELD_ID]],INDIRECT(DB_TBL_DATA_FIELDS[[#This Row],[SHEET_REF_CALC]]&amp;"!A:B"),2,FALSE),0),"")</f>
        <v/>
      </c>
      <c r="I266" s="44" t="str">
        <f ca="1">IF(DB_TBL_DATA_FIELDS[[#This Row],[FIELD_EMPTY_FLAG]],"",IF(SCATTERED_SITE_DOWNPAYMENT_FLAG=TRUE,FALSE,IF(OR(FULLCONTROL_UNITS="",FULLCONTROL_UNITS=0),FALSE,TRUE)))</f>
        <v/>
      </c>
      <c r="J266" s="2" t="b">
        <f ca="1">(DB_TBL_DATA_FIELDS[[#This Row],[FIELD_VALUE_RAW]]="")</f>
        <v>1</v>
      </c>
      <c r="K266" s="2" t="s">
        <v>62</v>
      </c>
      <c r="L266" s="7" t="b">
        <f ca="1">AND(IF(DB_TBL_DATA_FIELDS[[#This Row],[FIELD_VALID_CUSTOM_LOGIC]]="",TRUE,DB_TBL_DATA_FIELDS[[#This Row],[FIELD_VALID_CUSTOM_LOGIC]]),DB_TBL_DATA_FIELDS[[#This Row],[RANGE_VALIDATION_PASSED_FLAG]])</f>
        <v>0</v>
      </c>
      <c r="M266"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66" s="7">
        <f ca="1">IF(DB_TBL_DATA_FIELDS[[#This Row],[SHEET_REF_CALC]]="","",IF(DB_TBL_DATA_FIELDS[[#This Row],[FIELD_EMPTY_FLAG]],IF(NOT(DB_TBL_DATA_FIELDS[[#This Row],[FIELD_REQ_FLAG]]),-1,1),IF(NOT(DB_TBL_DATA_FIELDS[[#This Row],[FIELD_VALID_FLAG]]),0,2)))</f>
        <v>-1</v>
      </c>
      <c r="O266" s="7" t="str">
        <f ca="1">IFERROR(VLOOKUP(DB_TBL_DATA_FIELDS[[#This Row],[FIELD_STATUS_CODE]],DB_TBL_CONFIG_FIELDSTATUSCODES[#All],3,FALSE),"")</f>
        <v>Optional</v>
      </c>
      <c r="P266" s="7" t="str">
        <f ca="1">IFERROR(VLOOKUP(DB_TBL_DATA_FIELDS[[#This Row],[FIELD_STATUS_CODE]],DB_TBL_CONFIG_FIELDSTATUSCODES[#All],4,FALSE),"")</f>
        <v xml:space="preserve"> </v>
      </c>
      <c r="Q266" s="7" t="b">
        <f>TRUE</f>
        <v>1</v>
      </c>
      <c r="R266" s="7" t="b">
        <f>TRUE</f>
        <v>1</v>
      </c>
      <c r="S266" s="1" t="s">
        <v>62</v>
      </c>
      <c r="T266" s="7">
        <f ca="1">IF(DB_TBL_DATA_FIELDS[[#This Row],[RANGE_VALIDATION_FLAG]]="Text",LEN(DB_TBL_DATA_FIELDS[[#This Row],[FIELD_VALUE_RAW]]),IFERROR(VALUE(DB_TBL_DATA_FIELDS[[#This Row],[FIELD_VALUE_RAW]]),-1))</f>
        <v>-1</v>
      </c>
      <c r="U266" s="7">
        <v>0</v>
      </c>
      <c r="V266" s="8">
        <v>999999999999</v>
      </c>
      <c r="W266" s="7" t="b">
        <f ca="1">IF(NOT(DB_TBL_DATA_FIELDS[[#This Row],[RANGE_VALIDATION_ON_FLAG]]),TRUE,
AND(DB_TBL_DATA_FIELDS[[#This Row],[RANGE_VALUE_LEN]]&gt;=DB_TBL_DATA_FIELDS[[#This Row],[RANGE_VALIDATION_MIN]],DB_TBL_DATA_FIELDS[[#This Row],[RANGE_VALUE_LEN]]&lt;=DB_TBL_DATA_FIELDS[[#This Row],[RANGE_VALIDATION_MAX]]))</f>
        <v>0</v>
      </c>
      <c r="X266" s="7">
        <v>1</v>
      </c>
      <c r="Y266" s="7">
        <f ca="1">IF(DB_TBL_DATA_FIELDS[[#This Row],[PCT_CALC_SHOW_STATUS_CODE]]=1,
DB_TBL_DATA_FIELDS[[#This Row],[FIELD_STATUS_CODE]],
IF(AND(DB_TBL_DATA_FIELDS[[#This Row],[PCT_CALC_SHOW_STATUS_CODE]]=2,DB_TBL_DATA_FIELDS[[#This Row],[FIELD_STATUS_CODE]]=0),
DB_TBL_DATA_FIELDS[[#This Row],[FIELD_STATUS_CODE]],
"")
)</f>
        <v>-1</v>
      </c>
      <c r="Z266" s="7"/>
      <c r="AA266" s="10" t="s">
        <v>3185</v>
      </c>
      <c r="AB266" s="10" t="s">
        <v>3208</v>
      </c>
      <c r="AC266" s="7"/>
    </row>
    <row r="267" spans="1:29" x14ac:dyDescent="0.2">
      <c r="A267" s="4" t="s">
        <v>65</v>
      </c>
      <c r="B267" s="4" t="s">
        <v>64</v>
      </c>
      <c r="C267" s="8" t="str">
        <f ca="1">IF($H$10&lt;&gt;"R",IF(DB_TBL_DATA_FIELDS[[#This Row],[SHEET_REF_OWNER]]&lt;&gt;"",DB_TBL_DATA_FIELDS[[#This Row],[SHEET_REF_OWNER]],""),IF(DB_TBL_DATA_FIELDS[[#This Row],[SHEET_REF_RENTAL]]&lt;&gt;"",DB_TBL_DATA_FIELDS[[#This Row],[SHEET_REF_RENTAL]],""))</f>
        <v>RentalApp</v>
      </c>
      <c r="D267" s="1" t="s">
        <v>3137</v>
      </c>
      <c r="E267" s="1" t="b">
        <v>0</v>
      </c>
      <c r="F267" s="112" t="b">
        <f t="shared" ca="1" si="6"/>
        <v>0</v>
      </c>
      <c r="G267" s="2" t="s">
        <v>3138</v>
      </c>
      <c r="H267" s="10" t="str">
        <f ca="1">IFERROR(VLOOKUP(DB_TBL_DATA_FIELDS[[#This Row],[FIELD_ID]],INDIRECT(DB_TBL_DATA_FIELDS[[#This Row],[SHEET_REF_CALC]]&amp;"!A:B"),2,FALSE),"")</f>
        <v/>
      </c>
      <c r="I267" s="44" t="str">
        <f ca="1">IF(DB_TBL_DATA_FIELDS[[#This Row],[FIELD_EMPTY_FLAG]],"",IF(SCATTERED_SITE_DOWNPAYMENT_FLAG=TRUE,FALSE,IF(OR(FULLCONTROL_UNITS="",FULLCONTROL_UNITS=0),FALSE,TRUE)))</f>
        <v/>
      </c>
      <c r="J267" s="2" t="b">
        <f ca="1">(DB_TBL_DATA_FIELDS[[#This Row],[FIELD_VALUE_RAW]]="")</f>
        <v>1</v>
      </c>
      <c r="K267" s="2" t="s">
        <v>209</v>
      </c>
      <c r="L267" s="7" t="b">
        <f ca="1">AND(IF(DB_TBL_DATA_FIELDS[[#This Row],[FIELD_VALID_CUSTOM_LOGIC]]="",TRUE,DB_TBL_DATA_FIELDS[[#This Row],[FIELD_VALID_CUSTOM_LOGIC]]),DB_TBL_DATA_FIELDS[[#This Row],[RANGE_VALIDATION_PASSED_FLAG]])</f>
        <v>1</v>
      </c>
      <c r="M267"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67" s="7">
        <f ca="1">IF(DB_TBL_DATA_FIELDS[[#This Row],[SHEET_REF_CALC]]="","",IF(DB_TBL_DATA_FIELDS[[#This Row],[FIELD_EMPTY_FLAG]],IF(NOT(DB_TBL_DATA_FIELDS[[#This Row],[FIELD_REQ_FLAG]]),-1,1),IF(NOT(DB_TBL_DATA_FIELDS[[#This Row],[FIELD_VALID_FLAG]]),0,2)))</f>
        <v>-1</v>
      </c>
      <c r="O267" s="7" t="str">
        <f ca="1">IFERROR(VLOOKUP(DB_TBL_DATA_FIELDS[[#This Row],[FIELD_STATUS_CODE]],DB_TBL_CONFIG_FIELDSTATUSCODES[#All],3,FALSE),"")</f>
        <v>Optional</v>
      </c>
      <c r="P267" s="7" t="str">
        <f ca="1">IFERROR(VLOOKUP(DB_TBL_DATA_FIELDS[[#This Row],[FIELD_STATUS_CODE]],DB_TBL_CONFIG_FIELDSTATUSCODES[#All],4,FALSE),"")</f>
        <v xml:space="preserve"> </v>
      </c>
      <c r="Q267" s="7" t="b">
        <f>TRUE</f>
        <v>1</v>
      </c>
      <c r="R267" s="7" t="b">
        <v>0</v>
      </c>
      <c r="T267" s="7">
        <f ca="1">IF(DB_TBL_DATA_FIELDS[[#This Row],[RANGE_VALIDATION_FLAG]]="Text",LEN(DB_TBL_DATA_FIELDS[[#This Row],[FIELD_VALUE_RAW]]),IFERROR(VALUE(DB_TBL_DATA_FIELDS[[#This Row],[FIELD_VALUE_RAW]]),-1))</f>
        <v>-1</v>
      </c>
      <c r="U267" s="7">
        <v>0</v>
      </c>
      <c r="V267" s="7">
        <v>1</v>
      </c>
      <c r="W267" s="7" t="b">
        <f>IF(NOT(DB_TBL_DATA_FIELDS[[#This Row],[RANGE_VALIDATION_ON_FLAG]]),TRUE,
AND(DB_TBL_DATA_FIELDS[[#This Row],[RANGE_VALUE_LEN]]&gt;=DB_TBL_DATA_FIELDS[[#This Row],[RANGE_VALIDATION_MIN]],DB_TBL_DATA_FIELDS[[#This Row],[RANGE_VALUE_LEN]]&lt;=DB_TBL_DATA_FIELDS[[#This Row],[RANGE_VALIDATION_MAX]]))</f>
        <v>1</v>
      </c>
      <c r="X267" s="7">
        <v>1</v>
      </c>
      <c r="Y267" s="7">
        <f ca="1">IF(DB_TBL_DATA_FIELDS[[#This Row],[PCT_CALC_SHOW_STATUS_CODE]]=1,
DB_TBL_DATA_FIELDS[[#This Row],[FIELD_STATUS_CODE]],
IF(AND(DB_TBL_DATA_FIELDS[[#This Row],[PCT_CALC_SHOW_STATUS_CODE]]=2,DB_TBL_DATA_FIELDS[[#This Row],[FIELD_STATUS_CODE]]=0),
DB_TBL_DATA_FIELDS[[#This Row],[FIELD_STATUS_CODE]],
"")
)</f>
        <v>-1</v>
      </c>
      <c r="Z267" s="7"/>
      <c r="AA267" s="10" t="s">
        <v>3186</v>
      </c>
      <c r="AB267" s="10" t="s">
        <v>3208</v>
      </c>
      <c r="AC267" s="7"/>
    </row>
    <row r="268" spans="1:29" x14ac:dyDescent="0.2">
      <c r="A268" s="4" t="s">
        <v>65</v>
      </c>
      <c r="B268" s="4" t="s">
        <v>64</v>
      </c>
      <c r="C268" s="8" t="str">
        <f ca="1">IF($H$10&lt;&gt;"R",IF(DB_TBL_DATA_FIELDS[[#This Row],[SHEET_REF_OWNER]]&lt;&gt;"",DB_TBL_DATA_FIELDS[[#This Row],[SHEET_REF_OWNER]],""),IF(DB_TBL_DATA_FIELDS[[#This Row],[SHEET_REF_RENTAL]]&lt;&gt;"",DB_TBL_DATA_FIELDS[[#This Row],[SHEET_REF_RENTAL]],""))</f>
        <v>RentalApp</v>
      </c>
      <c r="D268" s="1" t="s">
        <v>3139</v>
      </c>
      <c r="E268" s="1" t="b">
        <v>0</v>
      </c>
      <c r="F268" s="112" t="b">
        <f ca="1">IF(SCATTERED_SITE_DOWNPAYMENT_FLAG=TRUE,FALSE,IF(AND(FULLCONTROL_UNITS&lt;&gt;"",FULLCONTROL_UNITS&gt;0,H267=TRUE),TRUE,FALSE))</f>
        <v>0</v>
      </c>
      <c r="G268" s="2" t="s">
        <v>3140</v>
      </c>
      <c r="H268" s="10" t="str">
        <f ca="1">IFERROR(VLOOKUP(DB_TBL_DATA_FIELDS[[#This Row],[FIELD_ID]],INDIRECT(DB_TBL_DATA_FIELDS[[#This Row],[SHEET_REF_CALC]]&amp;"!A:B"),2,FALSE),"")</f>
        <v/>
      </c>
      <c r="I268" s="44" t="str">
        <f ca="1">IF(DB_TBL_DATA_FIELDS[[#This Row],[FIELD_EMPTY_FLAG]],"",IF(SCATTERED_SITE_DOWNPAYMENT_FLAG=TRUE,FALSE,IF(OR(FULLCONTROL_UNITS="",FULLCONTROL_UNITS=0,H267&lt;&gt;TRUE),FALSE,TRUE)))</f>
        <v/>
      </c>
      <c r="J268" s="2" t="b">
        <f ca="1">(DB_TBL_DATA_FIELDS[[#This Row],[FIELD_VALUE_RAW]]="")</f>
        <v>1</v>
      </c>
      <c r="K268" s="2" t="s">
        <v>11</v>
      </c>
      <c r="L268" s="7" t="b">
        <f ca="1">AND(IF(DB_TBL_DATA_FIELDS[[#This Row],[FIELD_VALID_CUSTOM_LOGIC]]="",TRUE,DB_TBL_DATA_FIELDS[[#This Row],[FIELD_VALID_CUSTOM_LOGIC]]),DB_TBL_DATA_FIELDS[[#This Row],[RANGE_VALIDATION_PASSED_FLAG]])</f>
        <v>1</v>
      </c>
      <c r="M268"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68" s="7">
        <f ca="1">IF(DB_TBL_DATA_FIELDS[[#This Row],[SHEET_REF_CALC]]="","",IF(DB_TBL_DATA_FIELDS[[#This Row],[FIELD_EMPTY_FLAG]],IF(NOT(DB_TBL_DATA_FIELDS[[#This Row],[FIELD_REQ_FLAG]]),-1,1),IF(NOT(DB_TBL_DATA_FIELDS[[#This Row],[FIELD_VALID_FLAG]]),0,2)))</f>
        <v>-1</v>
      </c>
      <c r="O268" s="7" t="str">
        <f ca="1">IFERROR(VLOOKUP(DB_TBL_DATA_FIELDS[[#This Row],[FIELD_STATUS_CODE]],DB_TBL_CONFIG_FIELDSTATUSCODES[#All],3,FALSE),"")</f>
        <v>Optional</v>
      </c>
      <c r="P268" s="7" t="str">
        <f ca="1">IFERROR(VLOOKUP(DB_TBL_DATA_FIELDS[[#This Row],[FIELD_STATUS_CODE]],DB_TBL_CONFIG_FIELDSTATUSCODES[#All],4,FALSE),"")</f>
        <v xml:space="preserve"> </v>
      </c>
      <c r="Q268" s="7" t="b">
        <f>TRUE</f>
        <v>1</v>
      </c>
      <c r="R268" s="7" t="b">
        <f>TRUE</f>
        <v>1</v>
      </c>
      <c r="S268" s="1" t="s">
        <v>11</v>
      </c>
      <c r="T268" s="7">
        <f ca="1">IF(DB_TBL_DATA_FIELDS[[#This Row],[RANGE_VALIDATION_FLAG]]="Text",LEN(DB_TBL_DATA_FIELDS[[#This Row],[FIELD_VALUE_RAW]]),IFERROR(VALUE(DB_TBL_DATA_FIELDS[[#This Row],[FIELD_VALUE_RAW]]),-1))</f>
        <v>0</v>
      </c>
      <c r="U268" s="7">
        <v>0</v>
      </c>
      <c r="V268" s="101">
        <f>CONFIG_CHAR_LIMIT_SMALL</f>
        <v>1000</v>
      </c>
      <c r="W268" s="7" t="b">
        <f ca="1">IF(NOT(DB_TBL_DATA_FIELDS[[#This Row],[RANGE_VALIDATION_ON_FLAG]]),TRUE,
AND(DB_TBL_DATA_FIELDS[[#This Row],[RANGE_VALUE_LEN]]&gt;=DB_TBL_DATA_FIELDS[[#This Row],[RANGE_VALIDATION_MIN]],DB_TBL_DATA_FIELDS[[#This Row],[RANGE_VALUE_LEN]]&lt;=DB_TBL_DATA_FIELDS[[#This Row],[RANGE_VALIDATION_MAX]]))</f>
        <v>1</v>
      </c>
      <c r="X268" s="7">
        <v>1</v>
      </c>
      <c r="Y268" s="7">
        <f ca="1">IF(DB_TBL_DATA_FIELDS[[#This Row],[PCT_CALC_SHOW_STATUS_CODE]]=1,
DB_TBL_DATA_FIELDS[[#This Row],[FIELD_STATUS_CODE]],
IF(AND(DB_TBL_DATA_FIELDS[[#This Row],[PCT_CALC_SHOW_STATUS_CODE]]=2,DB_TBL_DATA_FIELDS[[#This Row],[FIELD_STATUS_CODE]]=0),
DB_TBL_DATA_FIELDS[[#This Row],[FIELD_STATUS_CODE]],
"")
)</f>
        <v>-1</v>
      </c>
      <c r="Z268" s="7"/>
      <c r="AA268" s="10" t="s">
        <v>3187</v>
      </c>
      <c r="AB268" s="10" t="s">
        <v>3208</v>
      </c>
      <c r="AC268" s="7"/>
    </row>
    <row r="269" spans="1:29" x14ac:dyDescent="0.2">
      <c r="A269" s="4"/>
      <c r="B269" s="4" t="s">
        <v>64</v>
      </c>
      <c r="C269" s="8" t="str">
        <f ca="1">IF($H$10&lt;&gt;"R",IF(DB_TBL_DATA_FIELDS[[#This Row],[SHEET_REF_OWNER]]&lt;&gt;"",DB_TBL_DATA_FIELDS[[#This Row],[SHEET_REF_OWNER]],""),IF(DB_TBL_DATA_FIELDS[[#This Row],[SHEET_REF_RENTAL]]&lt;&gt;"",DB_TBL_DATA_FIELDS[[#This Row],[SHEET_REF_RENTAL]],""))</f>
        <v>RentalApp</v>
      </c>
      <c r="D269" s="89" t="s">
        <v>3141</v>
      </c>
      <c r="E269" s="1" t="b">
        <v>0</v>
      </c>
      <c r="F269" s="112" t="b">
        <f ca="1">IF(SCATTERED_SITE_DOWNPAYMENT_FLAG=TRUE,FALSE,IF(AND(FULLCONTROL_UNITS&lt;&gt;"",FULLCONTROL_UNITS&gt;0),TRUE,FALSE))</f>
        <v>0</v>
      </c>
      <c r="G269" s="2" t="s">
        <v>3142</v>
      </c>
      <c r="H269" s="10" t="str">
        <f ca="1">IFERROR(VLOOKUP(DB_TBL_DATA_FIELDS[[#This Row],[FIELD_ID]],INDIRECT(DB_TBL_DATA_FIELDS[[#This Row],[SHEET_REF_CALC]]&amp;"!A:B"),2,FALSE),"")</f>
        <v/>
      </c>
      <c r="I269" s="44" t="str">
        <f ca="1">IF(DB_TBL_DATA_FIELDS[[#This Row],[FIELD_EMPTY_FLAG]],"",IF(SCATTERED_SITE_DOWNPAYMENT_FLAG=TRUE,FALSE,IF(OR(FULLCONTROL_UNITS="",FULLCONTROL_UNITS=0),FALSE,TRUE)))</f>
        <v/>
      </c>
      <c r="J269" s="2" t="b">
        <f ca="1">(DB_TBL_DATA_FIELDS[[#This Row],[FIELD_VALUE_RAW]]="")</f>
        <v>1</v>
      </c>
      <c r="K269" s="2" t="s">
        <v>209</v>
      </c>
      <c r="L269" s="7" t="b">
        <f ca="1">AND(IF(DB_TBL_DATA_FIELDS[[#This Row],[FIELD_VALID_CUSTOM_LOGIC]]="",TRUE,DB_TBL_DATA_FIELDS[[#This Row],[FIELD_VALID_CUSTOM_LOGIC]]),DB_TBL_DATA_FIELDS[[#This Row],[RANGE_VALIDATION_PASSED_FLAG]])</f>
        <v>1</v>
      </c>
      <c r="M269"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69" s="7">
        <f ca="1">IF(DB_TBL_DATA_FIELDS[[#This Row],[SHEET_REF_CALC]]="","",IF(DB_TBL_DATA_FIELDS[[#This Row],[FIELD_EMPTY_FLAG]],IF(NOT(DB_TBL_DATA_FIELDS[[#This Row],[FIELD_REQ_FLAG]]),-1,1),IF(NOT(DB_TBL_DATA_FIELDS[[#This Row],[FIELD_VALID_FLAG]]),0,2)))</f>
        <v>-1</v>
      </c>
      <c r="O269" s="7" t="str">
        <f ca="1">IFERROR(VLOOKUP(DB_TBL_DATA_FIELDS[[#This Row],[FIELD_STATUS_CODE]],DB_TBL_CONFIG_FIELDSTATUSCODES[#All],3,FALSE),"")</f>
        <v>Optional</v>
      </c>
      <c r="P269" s="7" t="str">
        <f ca="1">IFERROR(VLOOKUP(DB_TBL_DATA_FIELDS[[#This Row],[FIELD_STATUS_CODE]],DB_TBL_CONFIG_FIELDSTATUSCODES[#All],4,FALSE),"")</f>
        <v xml:space="preserve"> </v>
      </c>
      <c r="Q269" s="7" t="b">
        <f>TRUE</f>
        <v>1</v>
      </c>
      <c r="R269" s="7" t="b">
        <v>0</v>
      </c>
      <c r="T269" s="7">
        <f ca="1">IF(DB_TBL_DATA_FIELDS[[#This Row],[RANGE_VALIDATION_FLAG]]="Text",LEN(DB_TBL_DATA_FIELDS[[#This Row],[FIELD_VALUE_RAW]]),IFERROR(VALUE(DB_TBL_DATA_FIELDS[[#This Row],[FIELD_VALUE_RAW]]),-1))</f>
        <v>-1</v>
      </c>
      <c r="U269" s="7">
        <v>0</v>
      </c>
      <c r="V269" s="34">
        <v>1</v>
      </c>
      <c r="W269" s="7" t="b">
        <f>IF(NOT(DB_TBL_DATA_FIELDS[[#This Row],[RANGE_VALIDATION_ON_FLAG]]),TRUE,
AND(DB_TBL_DATA_FIELDS[[#This Row],[RANGE_VALUE_LEN]]&gt;=DB_TBL_DATA_FIELDS[[#This Row],[RANGE_VALIDATION_MIN]],DB_TBL_DATA_FIELDS[[#This Row],[RANGE_VALUE_LEN]]&lt;=DB_TBL_DATA_FIELDS[[#This Row],[RANGE_VALIDATION_MAX]]))</f>
        <v>1</v>
      </c>
      <c r="X269" s="7">
        <v>1</v>
      </c>
      <c r="Y269" s="7">
        <f ca="1">IF(DB_TBL_DATA_FIELDS[[#This Row],[PCT_CALC_SHOW_STATUS_CODE]]=1,
DB_TBL_DATA_FIELDS[[#This Row],[FIELD_STATUS_CODE]],
IF(AND(DB_TBL_DATA_FIELDS[[#This Row],[PCT_CALC_SHOW_STATUS_CODE]]=2,DB_TBL_DATA_FIELDS[[#This Row],[FIELD_STATUS_CODE]]=0),
DB_TBL_DATA_FIELDS[[#This Row],[FIELD_STATUS_CODE]],
"")
)</f>
        <v>-1</v>
      </c>
      <c r="Z269" s="7"/>
      <c r="AA269" s="10" t="s">
        <v>3188</v>
      </c>
      <c r="AB269" s="10" t="s">
        <v>3208</v>
      </c>
      <c r="AC269" s="7"/>
    </row>
    <row r="270" spans="1:29" x14ac:dyDescent="0.2">
      <c r="A270" s="4"/>
      <c r="B270" s="4" t="s">
        <v>64</v>
      </c>
      <c r="C270" s="8" t="str">
        <f ca="1">IF($H$10&lt;&gt;"R",IF(DB_TBL_DATA_FIELDS[[#This Row],[SHEET_REF_OWNER]]&lt;&gt;"",DB_TBL_DATA_FIELDS[[#This Row],[SHEET_REF_OWNER]],""),IF(DB_TBL_DATA_FIELDS[[#This Row],[SHEET_REF_RENTAL]]&lt;&gt;"",DB_TBL_DATA_FIELDS[[#This Row],[SHEET_REF_RENTAL]],""))</f>
        <v>RentalApp</v>
      </c>
      <c r="D270" s="89" t="s">
        <v>3143</v>
      </c>
      <c r="E270" s="1" t="b">
        <v>0</v>
      </c>
      <c r="F270" s="112" t="b">
        <f ca="1">IF(SCATTERED_SITE_DOWNPAYMENT_FLAG=TRUE,FALSE,IF(AND(FULLCONTROL_UNITS&lt;&gt;"",FULLCONTROL_UNITS&gt;0,H269=TRUE),TRUE,FALSE))</f>
        <v>0</v>
      </c>
      <c r="G270" s="2" t="s">
        <v>3144</v>
      </c>
      <c r="H270" s="10" t="str">
        <f ca="1">IFERROR(VLOOKUP(DB_TBL_DATA_FIELDS[[#This Row],[FIELD_ID]],INDIRECT(DB_TBL_DATA_FIELDS[[#This Row],[SHEET_REF_CALC]]&amp;"!A:B"),2,FALSE),"")</f>
        <v/>
      </c>
      <c r="I270" s="44" t="str">
        <f ca="1">IF(DB_TBL_DATA_FIELDS[[#This Row],[FIELD_EMPTY_FLAG]],"",IF(SCATTERED_SITE_DOWNPAYMENT_FLAG=TRUE,FALSE,IF(OR(FULLCONTROL_UNITS="",FULLCONTROL_UNITS=0,H269&lt;&gt;TRUE),FALSE,TRUE)))</f>
        <v/>
      </c>
      <c r="J270" s="2" t="b">
        <f ca="1">(DB_TBL_DATA_FIELDS[[#This Row],[FIELD_VALUE_RAW]]="")</f>
        <v>1</v>
      </c>
      <c r="K270" s="2" t="s">
        <v>11</v>
      </c>
      <c r="L270" s="7" t="b">
        <f ca="1">AND(IF(DB_TBL_DATA_FIELDS[[#This Row],[FIELD_VALID_CUSTOM_LOGIC]]="",TRUE,DB_TBL_DATA_FIELDS[[#This Row],[FIELD_VALID_CUSTOM_LOGIC]]),DB_TBL_DATA_FIELDS[[#This Row],[RANGE_VALIDATION_PASSED_FLAG]])</f>
        <v>1</v>
      </c>
      <c r="M270"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70" s="7">
        <f ca="1">IF(DB_TBL_DATA_FIELDS[[#This Row],[SHEET_REF_CALC]]="","",IF(DB_TBL_DATA_FIELDS[[#This Row],[FIELD_EMPTY_FLAG]],IF(NOT(DB_TBL_DATA_FIELDS[[#This Row],[FIELD_REQ_FLAG]]),-1,1),IF(NOT(DB_TBL_DATA_FIELDS[[#This Row],[FIELD_VALID_FLAG]]),0,2)))</f>
        <v>-1</v>
      </c>
      <c r="O270" s="7" t="str">
        <f ca="1">IFERROR(VLOOKUP(DB_TBL_DATA_FIELDS[[#This Row],[FIELD_STATUS_CODE]],DB_TBL_CONFIG_FIELDSTATUSCODES[#All],3,FALSE),"")</f>
        <v>Optional</v>
      </c>
      <c r="P270" s="7" t="str">
        <f ca="1">IFERROR(VLOOKUP(DB_TBL_DATA_FIELDS[[#This Row],[FIELD_STATUS_CODE]],DB_TBL_CONFIG_FIELDSTATUSCODES[#All],4,FALSE),"")</f>
        <v xml:space="preserve"> </v>
      </c>
      <c r="Q270" s="7" t="b">
        <f>TRUE</f>
        <v>1</v>
      </c>
      <c r="R270" s="7" t="b">
        <f>TRUE</f>
        <v>1</v>
      </c>
      <c r="S270" s="1" t="s">
        <v>11</v>
      </c>
      <c r="T270" s="7">
        <f ca="1">IF(DB_TBL_DATA_FIELDS[[#This Row],[RANGE_VALIDATION_FLAG]]="Text",LEN(DB_TBL_DATA_FIELDS[[#This Row],[FIELD_VALUE_RAW]]),IFERROR(VALUE(DB_TBL_DATA_FIELDS[[#This Row],[FIELD_VALUE_RAW]]),-1))</f>
        <v>0</v>
      </c>
      <c r="U270" s="7">
        <v>0</v>
      </c>
      <c r="V270" s="101">
        <f>CONFIG_CHAR_LIMIT_SMALL</f>
        <v>1000</v>
      </c>
      <c r="W270" s="7" t="b">
        <f ca="1">IF(NOT(DB_TBL_DATA_FIELDS[[#This Row],[RANGE_VALIDATION_ON_FLAG]]),TRUE,
AND(DB_TBL_DATA_FIELDS[[#This Row],[RANGE_VALUE_LEN]]&gt;=DB_TBL_DATA_FIELDS[[#This Row],[RANGE_VALIDATION_MIN]],DB_TBL_DATA_FIELDS[[#This Row],[RANGE_VALUE_LEN]]&lt;=DB_TBL_DATA_FIELDS[[#This Row],[RANGE_VALIDATION_MAX]]))</f>
        <v>1</v>
      </c>
      <c r="X270" s="7">
        <v>1</v>
      </c>
      <c r="Y270" s="7">
        <f ca="1">IF(DB_TBL_DATA_FIELDS[[#This Row],[PCT_CALC_SHOW_STATUS_CODE]]=1,
DB_TBL_DATA_FIELDS[[#This Row],[FIELD_STATUS_CODE]],
IF(AND(DB_TBL_DATA_FIELDS[[#This Row],[PCT_CALC_SHOW_STATUS_CODE]]=2,DB_TBL_DATA_FIELDS[[#This Row],[FIELD_STATUS_CODE]]=0),
DB_TBL_DATA_FIELDS[[#This Row],[FIELD_STATUS_CODE]],
"")
)</f>
        <v>-1</v>
      </c>
      <c r="Z270" s="7"/>
      <c r="AA270" s="10" t="s">
        <v>3189</v>
      </c>
      <c r="AB270" s="10" t="s">
        <v>3208</v>
      </c>
      <c r="AC270" s="7"/>
    </row>
    <row r="271" spans="1:29" x14ac:dyDescent="0.2">
      <c r="A271" s="4" t="s">
        <v>65</v>
      </c>
      <c r="B271" s="4" t="s">
        <v>64</v>
      </c>
      <c r="C271" s="8" t="str">
        <f ca="1">IF($H$10&lt;&gt;"R",IF(DB_TBL_DATA_FIELDS[[#This Row],[SHEET_REF_OWNER]]&lt;&gt;"",DB_TBL_DATA_FIELDS[[#This Row],[SHEET_REF_OWNER]],""),IF(DB_TBL_DATA_FIELDS[[#This Row],[SHEET_REF_RENTAL]]&lt;&gt;"",DB_TBL_DATA_FIELDS[[#This Row],[SHEET_REF_RENTAL]],""))</f>
        <v>RentalApp</v>
      </c>
      <c r="D271" s="1" t="s">
        <v>3145</v>
      </c>
      <c r="E271" s="1" t="b">
        <v>1</v>
      </c>
      <c r="F271" s="112" t="b">
        <f ca="1">IF(SCATTERED_SITE_DOWNPAYMENT_FLAG=TRUE,FALSE,OR(FULLCONTROL_UNITS="",IF(DATA_TOTAL_UNITS="",TRUE,FULLCONTROL_UNITS&lt;DATA_TOTAL_UNITS)))</f>
        <v>1</v>
      </c>
      <c r="G271" s="2" t="s">
        <v>3155</v>
      </c>
      <c r="H271" s="10" t="str">
        <f ca="1">IFERROR(VLOOKUP(DB_TBL_DATA_FIELDS[[#This Row],[FIELD_ID]],INDIRECT(DB_TBL_DATA_FIELDS[[#This Row],[SHEET_REF_CALC]]&amp;"!A:B"),2,FALSE),"")</f>
        <v/>
      </c>
      <c r="I271" s="44" t="str">
        <f ca="1">IF(DB_TBL_DATA_FIELDS[[#This Row],[FIELD_EMPTY_FLAG]],"",IF(SCATTERED_SITE_DOWNPAYMENT_FLAG=TRUE,FALSE,(PARTCONTROL_UNITS+IF(FULLCONTROL_UNITS="",0,FULLCONTROL_UNITS))&lt;=DATA_TOTAL_UNITS))</f>
        <v/>
      </c>
      <c r="J271" s="2" t="b">
        <f ca="1">(DB_TBL_DATA_FIELDS[[#This Row],[FIELD_VALUE_RAW]]="")</f>
        <v>1</v>
      </c>
      <c r="K271" s="2" t="s">
        <v>62</v>
      </c>
      <c r="L271" s="7" t="b">
        <f ca="1">AND(IF(DB_TBL_DATA_FIELDS[[#This Row],[FIELD_VALID_CUSTOM_LOGIC]]="",TRUE,DB_TBL_DATA_FIELDS[[#This Row],[FIELD_VALID_CUSTOM_LOGIC]]),DB_TBL_DATA_FIELDS[[#This Row],[RANGE_VALIDATION_PASSED_FLAG]])</f>
        <v>0</v>
      </c>
      <c r="M271"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71" s="7">
        <f ca="1">IF(DB_TBL_DATA_FIELDS[[#This Row],[SHEET_REF_CALC]]="","",IF(DB_TBL_DATA_FIELDS[[#This Row],[FIELD_EMPTY_FLAG]],IF(NOT(DB_TBL_DATA_FIELDS[[#This Row],[FIELD_REQ_FLAG]]),-1,1),IF(NOT(DB_TBL_DATA_FIELDS[[#This Row],[FIELD_VALID_FLAG]]),0,2)))</f>
        <v>1</v>
      </c>
      <c r="O271" s="7" t="str">
        <f ca="1">IFERROR(VLOOKUP(DB_TBL_DATA_FIELDS[[#This Row],[FIELD_STATUS_CODE]],DB_TBL_CONFIG_FIELDSTATUSCODES[#All],3,FALSE),"")</f>
        <v>Required</v>
      </c>
      <c r="P271" s="7" t="str">
        <f ca="1">IFERROR(VLOOKUP(DB_TBL_DATA_FIELDS[[#This Row],[FIELD_STATUS_CODE]],DB_TBL_CONFIG_FIELDSTATUSCODES[#All],4,FALSE),"")</f>
        <v>i</v>
      </c>
      <c r="Q271" s="7" t="b">
        <f>TRUE</f>
        <v>1</v>
      </c>
      <c r="R271" s="7" t="b">
        <f>TRUE</f>
        <v>1</v>
      </c>
      <c r="S271" s="1" t="s">
        <v>62</v>
      </c>
      <c r="T271" s="7">
        <f ca="1">IF(DB_TBL_DATA_FIELDS[[#This Row],[RANGE_VALIDATION_FLAG]]="Text",LEN(DB_TBL_DATA_FIELDS[[#This Row],[FIELD_VALUE_RAW]]),IFERROR(VALUE(DB_TBL_DATA_FIELDS[[#This Row],[FIELD_VALUE_RAW]]),-1))</f>
        <v>-1</v>
      </c>
      <c r="U271" s="7">
        <v>0</v>
      </c>
      <c r="V271" s="8">
        <v>999999999999</v>
      </c>
      <c r="W271" s="7" t="b">
        <f ca="1">IF(NOT(DB_TBL_DATA_FIELDS[[#This Row],[RANGE_VALIDATION_ON_FLAG]]),TRUE,
AND(DB_TBL_DATA_FIELDS[[#This Row],[RANGE_VALUE_LEN]]&gt;=DB_TBL_DATA_FIELDS[[#This Row],[RANGE_VALIDATION_MIN]],DB_TBL_DATA_FIELDS[[#This Row],[RANGE_VALUE_LEN]]&lt;=DB_TBL_DATA_FIELDS[[#This Row],[RANGE_VALIDATION_MAX]]))</f>
        <v>0</v>
      </c>
      <c r="X271" s="7">
        <v>1</v>
      </c>
      <c r="Y271" s="7">
        <f ca="1">IF(DB_TBL_DATA_FIELDS[[#This Row],[PCT_CALC_SHOW_STATUS_CODE]]=1,
DB_TBL_DATA_FIELDS[[#This Row],[FIELD_STATUS_CODE]],
IF(AND(DB_TBL_DATA_FIELDS[[#This Row],[PCT_CALC_SHOW_STATUS_CODE]]=2,DB_TBL_DATA_FIELDS[[#This Row],[FIELD_STATUS_CODE]]=0),
DB_TBL_DATA_FIELDS[[#This Row],[FIELD_STATUS_CODE]],
"")
)</f>
        <v>1</v>
      </c>
      <c r="Z271" s="101" t="str">
        <f ca="1">IF(DB_TBL_DATA_FIELDS[[#This Row],[FIELD_VALID_CUSTOM_LOGIC]]="","",IF(AND(NOT(DB_TBL_DATA_FIELDS[[#This Row],[FIELD_VALID_CUSTOM_LOGIC]]),SCATTERED_SITE_DOWNPAYMENT_FLAG&lt;&gt;TRUE),IF(FULLCONTROL_UNITS&lt;&gt;"","Full + Partial Site Control Units Exceeds Total Project Units", "Exceeds Total Project Units"),""))</f>
        <v/>
      </c>
      <c r="AA271" s="10" t="s">
        <v>3190</v>
      </c>
      <c r="AB271" s="10" t="s">
        <v>3208</v>
      </c>
      <c r="AC271" s="7"/>
    </row>
    <row r="272" spans="1:29" x14ac:dyDescent="0.2">
      <c r="A272" s="4" t="s">
        <v>65</v>
      </c>
      <c r="B272" s="4" t="s">
        <v>64</v>
      </c>
      <c r="C272" s="8" t="str">
        <f ca="1">IF($H$10&lt;&gt;"R",IF(DB_TBL_DATA_FIELDS[[#This Row],[SHEET_REF_OWNER]]&lt;&gt;"",DB_TBL_DATA_FIELDS[[#This Row],[SHEET_REF_OWNER]],""),IF(DB_TBL_DATA_FIELDS[[#This Row],[SHEET_REF_RENTAL]]&lt;&gt;"",DB_TBL_DATA_FIELDS[[#This Row],[SHEET_REF_RENTAL]],""))</f>
        <v>RentalApp</v>
      </c>
      <c r="D272" s="1" t="s">
        <v>3146</v>
      </c>
      <c r="E272" s="1" t="b">
        <v>1</v>
      </c>
      <c r="F272" s="112" t="b">
        <f t="shared" ref="F272:F277" ca="1" si="7">IF(SCATTERED_SITE_DOWNPAYMENT_FLAG=TRUE,FALSE,IF(AND(PARTCONTROL_UNITS&lt;&gt;"",PARTCONTROL_UNITS&gt;0),TRUE,FALSE))</f>
        <v>0</v>
      </c>
      <c r="G272" s="2" t="s">
        <v>3156</v>
      </c>
      <c r="H272" s="10" t="str">
        <f ca="1">IFERROR(VLOOKUP(DB_TBL_DATA_FIELDS[[#This Row],[FIELD_ID]],INDIRECT(DB_TBL_DATA_FIELDS[[#This Row],[SHEET_REF_CALC]]&amp;"!A:B"),2,FALSE),"")</f>
        <v/>
      </c>
      <c r="I272" s="44" t="str">
        <f ca="1">IF(DB_TBL_DATA_FIELDS[[#This Row],[FIELD_EMPTY_FLAG]],"",IF(SCATTERED_SITE_DOWNPAYMENT_FLAG=TRUE,FALSE,IF(OR(PARTCONTROL_UNITS="",PARTCONTROL_UNITS=0),FALSE,TRUE)))</f>
        <v/>
      </c>
      <c r="J272" s="2" t="b">
        <f ca="1">(DB_TBL_DATA_FIELDS[[#This Row],[FIELD_VALUE_RAW]]="")</f>
        <v>1</v>
      </c>
      <c r="K272" s="2" t="s">
        <v>11</v>
      </c>
      <c r="L272" s="7" t="b">
        <f ca="1">AND(IF(DB_TBL_DATA_FIELDS[[#This Row],[FIELD_VALID_CUSTOM_LOGIC]]="",TRUE,DB_TBL_DATA_FIELDS[[#This Row],[FIELD_VALID_CUSTOM_LOGIC]]),DB_TBL_DATA_FIELDS[[#This Row],[RANGE_VALIDATION_PASSED_FLAG]])</f>
        <v>1</v>
      </c>
      <c r="M272"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72" s="7">
        <f ca="1">IF(DB_TBL_DATA_FIELDS[[#This Row],[SHEET_REF_CALC]]="","",IF(DB_TBL_DATA_FIELDS[[#This Row],[FIELD_EMPTY_FLAG]],IF(NOT(DB_TBL_DATA_FIELDS[[#This Row],[FIELD_REQ_FLAG]]),-1,1),IF(NOT(DB_TBL_DATA_FIELDS[[#This Row],[FIELD_VALID_FLAG]]),0,2)))</f>
        <v>-1</v>
      </c>
      <c r="O272" s="7" t="str">
        <f ca="1">IFERROR(VLOOKUP(DB_TBL_DATA_FIELDS[[#This Row],[FIELD_STATUS_CODE]],DB_TBL_CONFIG_FIELDSTATUSCODES[#All],3,FALSE),"")</f>
        <v>Optional</v>
      </c>
      <c r="P272" s="7" t="str">
        <f ca="1">IFERROR(VLOOKUP(DB_TBL_DATA_FIELDS[[#This Row],[FIELD_STATUS_CODE]],DB_TBL_CONFIG_FIELDSTATUSCODES[#All],4,FALSE),"")</f>
        <v xml:space="preserve"> </v>
      </c>
      <c r="Q272" s="7" t="b">
        <f>TRUE</f>
        <v>1</v>
      </c>
      <c r="R272" s="7" t="b">
        <f>TRUE</f>
        <v>1</v>
      </c>
      <c r="S272" s="1" t="s">
        <v>11</v>
      </c>
      <c r="T272" s="7">
        <f ca="1">IF(DB_TBL_DATA_FIELDS[[#This Row],[RANGE_VALIDATION_FLAG]]="Text",LEN(DB_TBL_DATA_FIELDS[[#This Row],[FIELD_VALUE_RAW]]),IFERROR(VALUE(DB_TBL_DATA_FIELDS[[#This Row],[FIELD_VALUE_RAW]]),-1))</f>
        <v>0</v>
      </c>
      <c r="U272" s="7">
        <v>0</v>
      </c>
      <c r="V272" s="7">
        <v>32767</v>
      </c>
      <c r="W272" s="7" t="b">
        <f ca="1">IF(NOT(DB_TBL_DATA_FIELDS[[#This Row],[RANGE_VALIDATION_ON_FLAG]]),TRUE,
AND(DB_TBL_DATA_FIELDS[[#This Row],[RANGE_VALUE_LEN]]&gt;=DB_TBL_DATA_FIELDS[[#This Row],[RANGE_VALIDATION_MIN]],DB_TBL_DATA_FIELDS[[#This Row],[RANGE_VALUE_LEN]]&lt;=DB_TBL_DATA_FIELDS[[#This Row],[RANGE_VALIDATION_MAX]]))</f>
        <v>1</v>
      </c>
      <c r="X272" s="7">
        <v>1</v>
      </c>
      <c r="Y272" s="7">
        <f ca="1">IF(DB_TBL_DATA_FIELDS[[#This Row],[PCT_CALC_SHOW_STATUS_CODE]]=1,
DB_TBL_DATA_FIELDS[[#This Row],[FIELD_STATUS_CODE]],
IF(AND(DB_TBL_DATA_FIELDS[[#This Row],[PCT_CALC_SHOW_STATUS_CODE]]=2,DB_TBL_DATA_FIELDS[[#This Row],[FIELD_STATUS_CODE]]=0),
DB_TBL_DATA_FIELDS[[#This Row],[FIELD_STATUS_CODE]],
"")
)</f>
        <v>-1</v>
      </c>
      <c r="Z272" s="7"/>
      <c r="AA272" s="10" t="s">
        <v>3191</v>
      </c>
      <c r="AB272" s="10" t="s">
        <v>3208</v>
      </c>
      <c r="AC272" s="7"/>
    </row>
    <row r="273" spans="1:29" x14ac:dyDescent="0.2">
      <c r="A273" s="4" t="s">
        <v>65</v>
      </c>
      <c r="B273" s="4" t="s">
        <v>64</v>
      </c>
      <c r="C273" s="8" t="str">
        <f ca="1">IF($H$10&lt;&gt;"R",IF(DB_TBL_DATA_FIELDS[[#This Row],[SHEET_REF_OWNER]]&lt;&gt;"",DB_TBL_DATA_FIELDS[[#This Row],[SHEET_REF_OWNER]],""),IF(DB_TBL_DATA_FIELDS[[#This Row],[SHEET_REF_RENTAL]]&lt;&gt;"",DB_TBL_DATA_FIELDS[[#This Row],[SHEET_REF_RENTAL]],""))</f>
        <v>RentalApp</v>
      </c>
      <c r="D273" s="1" t="s">
        <v>3147</v>
      </c>
      <c r="E273" s="1" t="b">
        <v>0</v>
      </c>
      <c r="F273" s="112" t="b">
        <f t="shared" ca="1" si="7"/>
        <v>0</v>
      </c>
      <c r="G273" s="2" t="s">
        <v>3157</v>
      </c>
      <c r="H273" s="10" t="str">
        <f ca="1">IFERROR(VLOOKUP(DB_TBL_DATA_FIELDS[[#This Row],[FIELD_ID]],INDIRECT(DB_TBL_DATA_FIELDS[[#This Row],[SHEET_REF_CALC]]&amp;"!A:B"),2,FALSE),"")</f>
        <v/>
      </c>
      <c r="I273" s="44" t="str">
        <f ca="1">IF(DB_TBL_DATA_FIELDS[[#This Row],[FIELD_EMPTY_FLAG]],"",IF(SCATTERED_SITE_DOWNPAYMENT_FLAG=TRUE,FALSE,IF(OR(PARTCONTROL_UNITS="",PARTCONTROL_UNITS=0),FALSE,TRUE)))</f>
        <v/>
      </c>
      <c r="J273" s="2" t="b">
        <f ca="1">(DB_TBL_DATA_FIELDS[[#This Row],[FIELD_VALUE_RAW]]="")</f>
        <v>1</v>
      </c>
      <c r="K273" s="2" t="s">
        <v>11</v>
      </c>
      <c r="L273" s="7" t="b">
        <f ca="1">AND(IF(DB_TBL_DATA_FIELDS[[#This Row],[FIELD_VALID_CUSTOM_LOGIC]]="",TRUE,DB_TBL_DATA_FIELDS[[#This Row],[FIELD_VALID_CUSTOM_LOGIC]]),DB_TBL_DATA_FIELDS[[#This Row],[RANGE_VALIDATION_PASSED_FLAG]])</f>
        <v>1</v>
      </c>
      <c r="M273"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73" s="7">
        <f ca="1">IF(DB_TBL_DATA_FIELDS[[#This Row],[SHEET_REF_CALC]]="","",IF(DB_TBL_DATA_FIELDS[[#This Row],[FIELD_EMPTY_FLAG]],IF(NOT(DB_TBL_DATA_FIELDS[[#This Row],[FIELD_REQ_FLAG]]),-1,1),IF(NOT(DB_TBL_DATA_FIELDS[[#This Row],[FIELD_VALID_FLAG]]),0,2)))</f>
        <v>-1</v>
      </c>
      <c r="O273" s="7" t="str">
        <f ca="1">IFERROR(VLOOKUP(DB_TBL_DATA_FIELDS[[#This Row],[FIELD_STATUS_CODE]],DB_TBL_CONFIG_FIELDSTATUSCODES[#All],3,FALSE),"")</f>
        <v>Optional</v>
      </c>
      <c r="P273" s="7" t="str">
        <f ca="1">IFERROR(VLOOKUP(DB_TBL_DATA_FIELDS[[#This Row],[FIELD_STATUS_CODE]],DB_TBL_CONFIG_FIELDSTATUSCODES[#All],4,FALSE),"")</f>
        <v xml:space="preserve"> </v>
      </c>
      <c r="Q273" s="7" t="b">
        <f>TRUE</f>
        <v>1</v>
      </c>
      <c r="R273" s="7" t="b">
        <f>TRUE</f>
        <v>1</v>
      </c>
      <c r="S273" s="1" t="s">
        <v>11</v>
      </c>
      <c r="T273" s="7">
        <f ca="1">IF(DB_TBL_DATA_FIELDS[[#This Row],[RANGE_VALIDATION_FLAG]]="Text",LEN(DB_TBL_DATA_FIELDS[[#This Row],[FIELD_VALUE_RAW]]),IFERROR(VALUE(DB_TBL_DATA_FIELDS[[#This Row],[FIELD_VALUE_RAW]]),-1))</f>
        <v>0</v>
      </c>
      <c r="U273" s="7">
        <v>0</v>
      </c>
      <c r="V273" s="7">
        <v>32767</v>
      </c>
      <c r="W273" s="7" t="b">
        <f ca="1">IF(NOT(DB_TBL_DATA_FIELDS[[#This Row],[RANGE_VALIDATION_ON_FLAG]]),TRUE,
AND(DB_TBL_DATA_FIELDS[[#This Row],[RANGE_VALUE_LEN]]&gt;=DB_TBL_DATA_FIELDS[[#This Row],[RANGE_VALIDATION_MIN]],DB_TBL_DATA_FIELDS[[#This Row],[RANGE_VALUE_LEN]]&lt;=DB_TBL_DATA_FIELDS[[#This Row],[RANGE_VALIDATION_MAX]]))</f>
        <v>1</v>
      </c>
      <c r="X273" s="7">
        <v>1</v>
      </c>
      <c r="Y273" s="7">
        <f ca="1">IF(DB_TBL_DATA_FIELDS[[#This Row],[PCT_CALC_SHOW_STATUS_CODE]]=1,
DB_TBL_DATA_FIELDS[[#This Row],[FIELD_STATUS_CODE]],
IF(AND(DB_TBL_DATA_FIELDS[[#This Row],[PCT_CALC_SHOW_STATUS_CODE]]=2,DB_TBL_DATA_FIELDS[[#This Row],[FIELD_STATUS_CODE]]=0),
DB_TBL_DATA_FIELDS[[#This Row],[FIELD_STATUS_CODE]],
"")
)</f>
        <v>-1</v>
      </c>
      <c r="Z273" s="7"/>
      <c r="AA273" s="10" t="s">
        <v>3192</v>
      </c>
      <c r="AB273" s="10" t="s">
        <v>3208</v>
      </c>
      <c r="AC273" s="7"/>
    </row>
    <row r="274" spans="1:29" x14ac:dyDescent="0.2">
      <c r="A274" s="4" t="s">
        <v>65</v>
      </c>
      <c r="B274" s="4" t="s">
        <v>64</v>
      </c>
      <c r="C274" s="8" t="str">
        <f ca="1">IF($H$10&lt;&gt;"R",IF(DB_TBL_DATA_FIELDS[[#This Row],[SHEET_REF_OWNER]]&lt;&gt;"",DB_TBL_DATA_FIELDS[[#This Row],[SHEET_REF_OWNER]],""),IF(DB_TBL_DATA_FIELDS[[#This Row],[SHEET_REF_RENTAL]]&lt;&gt;"",DB_TBL_DATA_FIELDS[[#This Row],[SHEET_REF_RENTAL]],""))</f>
        <v>RentalApp</v>
      </c>
      <c r="D274" s="1" t="s">
        <v>3148</v>
      </c>
      <c r="E274" s="1" t="b">
        <v>0</v>
      </c>
      <c r="F274" s="112" t="b">
        <f t="shared" ca="1" si="7"/>
        <v>0</v>
      </c>
      <c r="G274" s="2" t="s">
        <v>3158</v>
      </c>
      <c r="H274" s="10" t="str">
        <f ca="1">IFERROR(VLOOKUP(DB_TBL_DATA_FIELDS[[#This Row],[FIELD_ID]],INDIRECT(DB_TBL_DATA_FIELDS[[#This Row],[SHEET_REF_CALC]]&amp;"!A:B"),2,FALSE),"")</f>
        <v/>
      </c>
      <c r="I274" s="44" t="str">
        <f ca="1">IF(DB_TBL_DATA_FIELDS[[#This Row],[FIELD_EMPTY_FLAG]],"",IF(SCATTERED_SITE_DOWNPAYMENT_FLAG=TRUE,FALSE,IF(OR(PARTCONTROL_UNITS="",PARTCONTROL_UNITS=0),FALSE,TRUE)))</f>
        <v/>
      </c>
      <c r="J274" s="2" t="b">
        <f ca="1">(DB_TBL_DATA_FIELDS[[#This Row],[FIELD_VALUE_RAW]]="")</f>
        <v>1</v>
      </c>
      <c r="K274" s="2" t="s">
        <v>11</v>
      </c>
      <c r="L274" s="7" t="b">
        <f ca="1">AND(IF(DB_TBL_DATA_FIELDS[[#This Row],[FIELD_VALID_CUSTOM_LOGIC]]="",TRUE,DB_TBL_DATA_FIELDS[[#This Row],[FIELD_VALID_CUSTOM_LOGIC]]),DB_TBL_DATA_FIELDS[[#This Row],[RANGE_VALIDATION_PASSED_FLAG]])</f>
        <v>1</v>
      </c>
      <c r="M274"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74" s="7">
        <f ca="1">IF(DB_TBL_DATA_FIELDS[[#This Row],[SHEET_REF_CALC]]="","",IF(DB_TBL_DATA_FIELDS[[#This Row],[FIELD_EMPTY_FLAG]],IF(NOT(DB_TBL_DATA_FIELDS[[#This Row],[FIELD_REQ_FLAG]]),-1,1),IF(NOT(DB_TBL_DATA_FIELDS[[#This Row],[FIELD_VALID_FLAG]]),0,2)))</f>
        <v>-1</v>
      </c>
      <c r="O274" s="7" t="str">
        <f ca="1">IFERROR(VLOOKUP(DB_TBL_DATA_FIELDS[[#This Row],[FIELD_STATUS_CODE]],DB_TBL_CONFIG_FIELDSTATUSCODES[#All],3,FALSE),"")</f>
        <v>Optional</v>
      </c>
      <c r="P274" s="7" t="str">
        <f ca="1">IFERROR(VLOOKUP(DB_TBL_DATA_FIELDS[[#This Row],[FIELD_STATUS_CODE]],DB_TBL_CONFIG_FIELDSTATUSCODES[#All],4,FALSE),"")</f>
        <v xml:space="preserve"> </v>
      </c>
      <c r="Q274" s="7" t="b">
        <f>TRUE</f>
        <v>1</v>
      </c>
      <c r="R274" s="7" t="b">
        <f>TRUE</f>
        <v>1</v>
      </c>
      <c r="S274" s="1" t="s">
        <v>11</v>
      </c>
      <c r="T274" s="7">
        <f ca="1">IF(DB_TBL_DATA_FIELDS[[#This Row],[RANGE_VALIDATION_FLAG]]="Text",LEN(DB_TBL_DATA_FIELDS[[#This Row],[FIELD_VALUE_RAW]]),IFERROR(VALUE(DB_TBL_DATA_FIELDS[[#This Row],[FIELD_VALUE_RAW]]),-1))</f>
        <v>0</v>
      </c>
      <c r="U274" s="7">
        <v>0</v>
      </c>
      <c r="V274" s="7">
        <v>32767</v>
      </c>
      <c r="W274" s="7" t="b">
        <f ca="1">IF(NOT(DB_TBL_DATA_FIELDS[[#This Row],[RANGE_VALIDATION_ON_FLAG]]),TRUE,
AND(DB_TBL_DATA_FIELDS[[#This Row],[RANGE_VALUE_LEN]]&gt;=DB_TBL_DATA_FIELDS[[#This Row],[RANGE_VALIDATION_MIN]],DB_TBL_DATA_FIELDS[[#This Row],[RANGE_VALUE_LEN]]&lt;=DB_TBL_DATA_FIELDS[[#This Row],[RANGE_VALIDATION_MAX]]))</f>
        <v>1</v>
      </c>
      <c r="X274" s="7">
        <v>1</v>
      </c>
      <c r="Y274" s="7">
        <f ca="1">IF(DB_TBL_DATA_FIELDS[[#This Row],[PCT_CALC_SHOW_STATUS_CODE]]=1,
DB_TBL_DATA_FIELDS[[#This Row],[FIELD_STATUS_CODE]],
IF(AND(DB_TBL_DATA_FIELDS[[#This Row],[PCT_CALC_SHOW_STATUS_CODE]]=2,DB_TBL_DATA_FIELDS[[#This Row],[FIELD_STATUS_CODE]]=0),
DB_TBL_DATA_FIELDS[[#This Row],[FIELD_STATUS_CODE]],
"")
)</f>
        <v>-1</v>
      </c>
      <c r="Z274" s="7"/>
      <c r="AA274" s="10" t="s">
        <v>3193</v>
      </c>
      <c r="AB274" s="10" t="s">
        <v>3208</v>
      </c>
      <c r="AC274" s="7"/>
    </row>
    <row r="275" spans="1:29" x14ac:dyDescent="0.2">
      <c r="A275" s="4" t="s">
        <v>65</v>
      </c>
      <c r="B275" s="4" t="s">
        <v>64</v>
      </c>
      <c r="C275" s="8" t="str">
        <f ca="1">IF($H$10&lt;&gt;"R",IF(DB_TBL_DATA_FIELDS[[#This Row],[SHEET_REF_OWNER]]&lt;&gt;"",DB_TBL_DATA_FIELDS[[#This Row],[SHEET_REF_OWNER]],""),IF(DB_TBL_DATA_FIELDS[[#This Row],[SHEET_REF_RENTAL]]&lt;&gt;"",DB_TBL_DATA_FIELDS[[#This Row],[SHEET_REF_RENTAL]],""))</f>
        <v>RentalApp</v>
      </c>
      <c r="D275" s="1" t="s">
        <v>3149</v>
      </c>
      <c r="E275" s="1" t="b">
        <v>0</v>
      </c>
      <c r="F275" s="112" t="b">
        <f t="shared" ca="1" si="7"/>
        <v>0</v>
      </c>
      <c r="G275" s="2" t="s">
        <v>3159</v>
      </c>
      <c r="H275" s="10" t="str">
        <f ca="1">IFERROR(VLOOKUP(DB_TBL_DATA_FIELDS[[#This Row],[FIELD_ID]],INDIRECT(DB_TBL_DATA_FIELDS[[#This Row],[SHEET_REF_CALC]]&amp;"!A:B"),2,FALSE),"")</f>
        <v/>
      </c>
      <c r="I275" s="44" t="str">
        <f ca="1">IF(DB_TBL_DATA_FIELDS[[#This Row],[FIELD_EMPTY_FLAG]],"",IF(SCATTERED_SITE_DOWNPAYMENT_FLAG=TRUE,FALSE,IF(OR(PARTCONTROL_UNITS="",PARTCONTROL_UNITS=0),FALSE,TRUE)))</f>
        <v/>
      </c>
      <c r="J275" s="2" t="b">
        <f ca="1">(DB_TBL_DATA_FIELDS[[#This Row],[FIELD_VALUE_RAW]]="")</f>
        <v>1</v>
      </c>
      <c r="K275" s="2" t="s">
        <v>11</v>
      </c>
      <c r="L275" s="7" t="b">
        <f ca="1">AND(IF(DB_TBL_DATA_FIELDS[[#This Row],[FIELD_VALID_CUSTOM_LOGIC]]="",TRUE,DB_TBL_DATA_FIELDS[[#This Row],[FIELD_VALID_CUSTOM_LOGIC]]),DB_TBL_DATA_FIELDS[[#This Row],[RANGE_VALIDATION_PASSED_FLAG]])</f>
        <v>1</v>
      </c>
      <c r="M275"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75" s="7">
        <f ca="1">IF(DB_TBL_DATA_FIELDS[[#This Row],[SHEET_REF_CALC]]="","",IF(DB_TBL_DATA_FIELDS[[#This Row],[FIELD_EMPTY_FLAG]],IF(NOT(DB_TBL_DATA_FIELDS[[#This Row],[FIELD_REQ_FLAG]]),-1,1),IF(NOT(DB_TBL_DATA_FIELDS[[#This Row],[FIELD_VALID_FLAG]]),0,2)))</f>
        <v>-1</v>
      </c>
      <c r="O275" s="7" t="str">
        <f ca="1">IFERROR(VLOOKUP(DB_TBL_DATA_FIELDS[[#This Row],[FIELD_STATUS_CODE]],DB_TBL_CONFIG_FIELDSTATUSCODES[#All],3,FALSE),"")</f>
        <v>Optional</v>
      </c>
      <c r="P275" s="7" t="str">
        <f ca="1">IFERROR(VLOOKUP(DB_TBL_DATA_FIELDS[[#This Row],[FIELD_STATUS_CODE]],DB_TBL_CONFIG_FIELDSTATUSCODES[#All],4,FALSE),"")</f>
        <v xml:space="preserve"> </v>
      </c>
      <c r="Q275" s="7" t="b">
        <f>TRUE</f>
        <v>1</v>
      </c>
      <c r="R275" s="7" t="b">
        <f>TRUE</f>
        <v>1</v>
      </c>
      <c r="S275" s="1" t="s">
        <v>11</v>
      </c>
      <c r="T275" s="7">
        <f ca="1">IF(DB_TBL_DATA_FIELDS[[#This Row],[RANGE_VALIDATION_FLAG]]="Text",LEN(DB_TBL_DATA_FIELDS[[#This Row],[FIELD_VALUE_RAW]]),IFERROR(VALUE(DB_TBL_DATA_FIELDS[[#This Row],[FIELD_VALUE_RAW]]),-1))</f>
        <v>0</v>
      </c>
      <c r="U275" s="7">
        <v>0</v>
      </c>
      <c r="V275" s="7">
        <v>32767</v>
      </c>
      <c r="W275" s="7" t="b">
        <f ca="1">IF(NOT(DB_TBL_DATA_FIELDS[[#This Row],[RANGE_VALIDATION_ON_FLAG]]),TRUE,
AND(DB_TBL_DATA_FIELDS[[#This Row],[RANGE_VALUE_LEN]]&gt;=DB_TBL_DATA_FIELDS[[#This Row],[RANGE_VALIDATION_MIN]],DB_TBL_DATA_FIELDS[[#This Row],[RANGE_VALUE_LEN]]&lt;=DB_TBL_DATA_FIELDS[[#This Row],[RANGE_VALIDATION_MAX]]))</f>
        <v>1</v>
      </c>
      <c r="X275" s="7">
        <v>1</v>
      </c>
      <c r="Y275" s="7">
        <f ca="1">IF(DB_TBL_DATA_FIELDS[[#This Row],[PCT_CALC_SHOW_STATUS_CODE]]=1,
DB_TBL_DATA_FIELDS[[#This Row],[FIELD_STATUS_CODE]],
IF(AND(DB_TBL_DATA_FIELDS[[#This Row],[PCT_CALC_SHOW_STATUS_CODE]]=2,DB_TBL_DATA_FIELDS[[#This Row],[FIELD_STATUS_CODE]]=0),
DB_TBL_DATA_FIELDS[[#This Row],[FIELD_STATUS_CODE]],
"")
)</f>
        <v>-1</v>
      </c>
      <c r="Z275" s="7"/>
      <c r="AA275" s="10" t="s">
        <v>3194</v>
      </c>
      <c r="AB275" s="10" t="s">
        <v>3208</v>
      </c>
      <c r="AC275" s="7"/>
    </row>
    <row r="276" spans="1:29" x14ac:dyDescent="0.2">
      <c r="A276" s="4" t="s">
        <v>65</v>
      </c>
      <c r="B276" s="4" t="s">
        <v>64</v>
      </c>
      <c r="C276" s="8" t="str">
        <f ca="1">IF($H$10&lt;&gt;"R",IF(DB_TBL_DATA_FIELDS[[#This Row],[SHEET_REF_OWNER]]&lt;&gt;"",DB_TBL_DATA_FIELDS[[#This Row],[SHEET_REF_OWNER]],""),IF(DB_TBL_DATA_FIELDS[[#This Row],[SHEET_REF_RENTAL]]&lt;&gt;"",DB_TBL_DATA_FIELDS[[#This Row],[SHEET_REF_RENTAL]],""))</f>
        <v>RentalApp</v>
      </c>
      <c r="D276" s="1" t="s">
        <v>3150</v>
      </c>
      <c r="E276" s="1" t="b">
        <v>0</v>
      </c>
      <c r="F276" s="112" t="b">
        <f t="shared" ca="1" si="7"/>
        <v>0</v>
      </c>
      <c r="G276" s="2" t="s">
        <v>3160</v>
      </c>
      <c r="H276" s="29" t="str">
        <f ca="1">IFERROR(ROUND(VLOOKUP(DB_TBL_DATA_FIELDS[[#This Row],[FIELD_ID]],INDIRECT(DB_TBL_DATA_FIELDS[[#This Row],[SHEET_REF_CALC]]&amp;"!A:B"),2,FALSE),0),"")</f>
        <v/>
      </c>
      <c r="I276" s="44" t="str">
        <f ca="1">IF(DB_TBL_DATA_FIELDS[[#This Row],[FIELD_EMPTY_FLAG]],"",IF(SCATTERED_SITE_DOWNPAYMENT_FLAG=TRUE,FALSE,IF(OR(PARTCONTROL_UNITS="",PARTCONTROL_UNITS=0),FALSE,TRUE)))</f>
        <v/>
      </c>
      <c r="J276" s="2" t="b">
        <f ca="1">(DB_TBL_DATA_FIELDS[[#This Row],[FIELD_VALUE_RAW]]="")</f>
        <v>1</v>
      </c>
      <c r="K276" s="2" t="s">
        <v>62</v>
      </c>
      <c r="L276" s="7" t="b">
        <f ca="1">AND(IF(DB_TBL_DATA_FIELDS[[#This Row],[FIELD_VALID_CUSTOM_LOGIC]]="",TRUE,DB_TBL_DATA_FIELDS[[#This Row],[FIELD_VALID_CUSTOM_LOGIC]]),DB_TBL_DATA_FIELDS[[#This Row],[RANGE_VALIDATION_PASSED_FLAG]])</f>
        <v>0</v>
      </c>
      <c r="M276"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76" s="7">
        <f ca="1">IF(DB_TBL_DATA_FIELDS[[#This Row],[SHEET_REF_CALC]]="","",IF(DB_TBL_DATA_FIELDS[[#This Row],[FIELD_EMPTY_FLAG]],IF(NOT(DB_TBL_DATA_FIELDS[[#This Row],[FIELD_REQ_FLAG]]),-1,1),IF(NOT(DB_TBL_DATA_FIELDS[[#This Row],[FIELD_VALID_FLAG]]),0,2)))</f>
        <v>-1</v>
      </c>
      <c r="O276" s="7" t="str">
        <f ca="1">IFERROR(VLOOKUP(DB_TBL_DATA_FIELDS[[#This Row],[FIELD_STATUS_CODE]],DB_TBL_CONFIG_FIELDSTATUSCODES[#All],3,FALSE),"")</f>
        <v>Optional</v>
      </c>
      <c r="P276" s="7" t="str">
        <f ca="1">IFERROR(VLOOKUP(DB_TBL_DATA_FIELDS[[#This Row],[FIELD_STATUS_CODE]],DB_TBL_CONFIG_FIELDSTATUSCODES[#All],4,FALSE),"")</f>
        <v xml:space="preserve"> </v>
      </c>
      <c r="Q276" s="7" t="b">
        <f>TRUE</f>
        <v>1</v>
      </c>
      <c r="R276" s="7" t="b">
        <f>TRUE</f>
        <v>1</v>
      </c>
      <c r="S276" s="1" t="s">
        <v>62</v>
      </c>
      <c r="T276" s="7">
        <f ca="1">IF(DB_TBL_DATA_FIELDS[[#This Row],[RANGE_VALIDATION_FLAG]]="Text",LEN(DB_TBL_DATA_FIELDS[[#This Row],[FIELD_VALUE_RAW]]),IFERROR(VALUE(DB_TBL_DATA_FIELDS[[#This Row],[FIELD_VALUE_RAW]]),-1))</f>
        <v>-1</v>
      </c>
      <c r="U276" s="7">
        <v>0</v>
      </c>
      <c r="V276" s="8">
        <v>999999999999</v>
      </c>
      <c r="W276" s="7" t="b">
        <f ca="1">IF(NOT(DB_TBL_DATA_FIELDS[[#This Row],[RANGE_VALIDATION_ON_FLAG]]),TRUE,
AND(DB_TBL_DATA_FIELDS[[#This Row],[RANGE_VALUE_LEN]]&gt;=DB_TBL_DATA_FIELDS[[#This Row],[RANGE_VALIDATION_MIN]],DB_TBL_DATA_FIELDS[[#This Row],[RANGE_VALUE_LEN]]&lt;=DB_TBL_DATA_FIELDS[[#This Row],[RANGE_VALIDATION_MAX]]))</f>
        <v>0</v>
      </c>
      <c r="X276" s="7">
        <v>1</v>
      </c>
      <c r="Y276" s="7">
        <f ca="1">IF(DB_TBL_DATA_FIELDS[[#This Row],[PCT_CALC_SHOW_STATUS_CODE]]=1,
DB_TBL_DATA_FIELDS[[#This Row],[FIELD_STATUS_CODE]],
IF(AND(DB_TBL_DATA_FIELDS[[#This Row],[PCT_CALC_SHOW_STATUS_CODE]]=2,DB_TBL_DATA_FIELDS[[#This Row],[FIELD_STATUS_CODE]]=0),
DB_TBL_DATA_FIELDS[[#This Row],[FIELD_STATUS_CODE]],
"")
)</f>
        <v>-1</v>
      </c>
      <c r="Z276" s="7"/>
      <c r="AA276" s="10" t="s">
        <v>3195</v>
      </c>
      <c r="AB276" s="10" t="s">
        <v>3208</v>
      </c>
      <c r="AC276" s="7"/>
    </row>
    <row r="277" spans="1:29" x14ac:dyDescent="0.2">
      <c r="A277" s="4" t="s">
        <v>65</v>
      </c>
      <c r="B277" s="4" t="s">
        <v>64</v>
      </c>
      <c r="C277" s="8" t="str">
        <f ca="1">IF($H$10&lt;&gt;"R",IF(DB_TBL_DATA_FIELDS[[#This Row],[SHEET_REF_OWNER]]&lt;&gt;"",DB_TBL_DATA_FIELDS[[#This Row],[SHEET_REF_OWNER]],""),IF(DB_TBL_DATA_FIELDS[[#This Row],[SHEET_REF_RENTAL]]&lt;&gt;"",DB_TBL_DATA_FIELDS[[#This Row],[SHEET_REF_RENTAL]],""))</f>
        <v>RentalApp</v>
      </c>
      <c r="D277" s="1" t="s">
        <v>3151</v>
      </c>
      <c r="E277" s="1" t="b">
        <v>0</v>
      </c>
      <c r="F277" s="112" t="b">
        <f t="shared" ca="1" si="7"/>
        <v>0</v>
      </c>
      <c r="G277" s="2" t="s">
        <v>3161</v>
      </c>
      <c r="H277" s="10" t="str">
        <f ca="1">IFERROR(VLOOKUP(DB_TBL_DATA_FIELDS[[#This Row],[FIELD_ID]],INDIRECT(DB_TBL_DATA_FIELDS[[#This Row],[SHEET_REF_CALC]]&amp;"!A:B"),2,FALSE),"")</f>
        <v/>
      </c>
      <c r="I277" s="44" t="str">
        <f ca="1">IF(DB_TBL_DATA_FIELDS[[#This Row],[FIELD_EMPTY_FLAG]],"",IF(SCATTERED_SITE_DOWNPAYMENT_FLAG=TRUE,FALSE,IF(OR(PARTCONTROL_UNITS="",PARTCONTROL_UNITS=0),FALSE,TRUE)))</f>
        <v/>
      </c>
      <c r="J277" s="2" t="b">
        <f ca="1">(DB_TBL_DATA_FIELDS[[#This Row],[FIELD_VALUE_RAW]]="")</f>
        <v>1</v>
      </c>
      <c r="K277" s="2" t="s">
        <v>209</v>
      </c>
      <c r="L277" s="7" t="b">
        <f ca="1">AND(IF(DB_TBL_DATA_FIELDS[[#This Row],[FIELD_VALID_CUSTOM_LOGIC]]="",TRUE,DB_TBL_DATA_FIELDS[[#This Row],[FIELD_VALID_CUSTOM_LOGIC]]),DB_TBL_DATA_FIELDS[[#This Row],[RANGE_VALIDATION_PASSED_FLAG]])</f>
        <v>1</v>
      </c>
      <c r="M277"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77" s="7">
        <f ca="1">IF(DB_TBL_DATA_FIELDS[[#This Row],[SHEET_REF_CALC]]="","",IF(DB_TBL_DATA_FIELDS[[#This Row],[FIELD_EMPTY_FLAG]],IF(NOT(DB_TBL_DATA_FIELDS[[#This Row],[FIELD_REQ_FLAG]]),-1,1),IF(NOT(DB_TBL_DATA_FIELDS[[#This Row],[FIELD_VALID_FLAG]]),0,2)))</f>
        <v>-1</v>
      </c>
      <c r="O277" s="7" t="str">
        <f ca="1">IFERROR(VLOOKUP(DB_TBL_DATA_FIELDS[[#This Row],[FIELD_STATUS_CODE]],DB_TBL_CONFIG_FIELDSTATUSCODES[#All],3,FALSE),"")</f>
        <v>Optional</v>
      </c>
      <c r="P277" s="7" t="str">
        <f ca="1">IFERROR(VLOOKUP(DB_TBL_DATA_FIELDS[[#This Row],[FIELD_STATUS_CODE]],DB_TBL_CONFIG_FIELDSTATUSCODES[#All],4,FALSE),"")</f>
        <v xml:space="preserve"> </v>
      </c>
      <c r="Q277" s="7" t="b">
        <f>TRUE</f>
        <v>1</v>
      </c>
      <c r="R277" s="7" t="b">
        <v>0</v>
      </c>
      <c r="T277" s="7">
        <f ca="1">IF(DB_TBL_DATA_FIELDS[[#This Row],[RANGE_VALIDATION_FLAG]]="Text",LEN(DB_TBL_DATA_FIELDS[[#This Row],[FIELD_VALUE_RAW]]),IFERROR(VALUE(DB_TBL_DATA_FIELDS[[#This Row],[FIELD_VALUE_RAW]]),-1))</f>
        <v>-1</v>
      </c>
      <c r="U277" s="7">
        <v>0</v>
      </c>
      <c r="V277" s="7">
        <v>1</v>
      </c>
      <c r="W277" s="7" t="b">
        <f>IF(NOT(DB_TBL_DATA_FIELDS[[#This Row],[RANGE_VALIDATION_ON_FLAG]]),TRUE,
AND(DB_TBL_DATA_FIELDS[[#This Row],[RANGE_VALUE_LEN]]&gt;=DB_TBL_DATA_FIELDS[[#This Row],[RANGE_VALIDATION_MIN]],DB_TBL_DATA_FIELDS[[#This Row],[RANGE_VALUE_LEN]]&lt;=DB_TBL_DATA_FIELDS[[#This Row],[RANGE_VALIDATION_MAX]]))</f>
        <v>1</v>
      </c>
      <c r="X277" s="7">
        <v>1</v>
      </c>
      <c r="Y277" s="7">
        <f ca="1">IF(DB_TBL_DATA_FIELDS[[#This Row],[PCT_CALC_SHOW_STATUS_CODE]]=1,
DB_TBL_DATA_FIELDS[[#This Row],[FIELD_STATUS_CODE]],
IF(AND(DB_TBL_DATA_FIELDS[[#This Row],[PCT_CALC_SHOW_STATUS_CODE]]=2,DB_TBL_DATA_FIELDS[[#This Row],[FIELD_STATUS_CODE]]=0),
DB_TBL_DATA_FIELDS[[#This Row],[FIELD_STATUS_CODE]],
"")
)</f>
        <v>-1</v>
      </c>
      <c r="Z277" s="7"/>
      <c r="AA277" s="10" t="s">
        <v>3196</v>
      </c>
      <c r="AB277" s="10" t="s">
        <v>3208</v>
      </c>
      <c r="AC277" s="7"/>
    </row>
    <row r="278" spans="1:29" x14ac:dyDescent="0.2">
      <c r="A278" s="4" t="s">
        <v>65</v>
      </c>
      <c r="B278" s="4" t="s">
        <v>64</v>
      </c>
      <c r="C278" s="8" t="str">
        <f ca="1">IF($H$10&lt;&gt;"R",IF(DB_TBL_DATA_FIELDS[[#This Row],[SHEET_REF_OWNER]]&lt;&gt;"",DB_TBL_DATA_FIELDS[[#This Row],[SHEET_REF_OWNER]],""),IF(DB_TBL_DATA_FIELDS[[#This Row],[SHEET_REF_RENTAL]]&lt;&gt;"",DB_TBL_DATA_FIELDS[[#This Row],[SHEET_REF_RENTAL]],""))</f>
        <v>RentalApp</v>
      </c>
      <c r="D278" s="1" t="s">
        <v>3152</v>
      </c>
      <c r="E278" s="1" t="b">
        <v>0</v>
      </c>
      <c r="F278" s="112" t="b">
        <f ca="1">IF(SCATTERED_SITE_DOWNPAYMENT_FLAG=TRUE,FALSE,IF(AND(PARTCONTROL_UNITS&lt;&gt;"",PARTCONTROL_UNITS&gt;0,H277=TRUE),TRUE,FALSE))</f>
        <v>0</v>
      </c>
      <c r="G278" s="2" t="s">
        <v>3162</v>
      </c>
      <c r="H278" s="10" t="str">
        <f ca="1">IFERROR(VLOOKUP(DB_TBL_DATA_FIELDS[[#This Row],[FIELD_ID]],INDIRECT(DB_TBL_DATA_FIELDS[[#This Row],[SHEET_REF_CALC]]&amp;"!A:B"),2,FALSE),"")</f>
        <v/>
      </c>
      <c r="I278" s="44" t="str">
        <f ca="1">IF(DB_TBL_DATA_FIELDS[[#This Row],[FIELD_EMPTY_FLAG]],"",IF(SCATTERED_SITE_DOWNPAYMENT_FLAG=TRUE,FALSE,IF(OR(PARTCONTROL_UNITS="",PARTCONTROL_UNITS=0,H277&lt;&gt;TRUE),FALSE,TRUE)))</f>
        <v/>
      </c>
      <c r="J278" s="2" t="b">
        <f ca="1">(DB_TBL_DATA_FIELDS[[#This Row],[FIELD_VALUE_RAW]]="")</f>
        <v>1</v>
      </c>
      <c r="K278" s="2" t="s">
        <v>11</v>
      </c>
      <c r="L278" s="7" t="b">
        <f ca="1">AND(IF(DB_TBL_DATA_FIELDS[[#This Row],[FIELD_VALID_CUSTOM_LOGIC]]="",TRUE,DB_TBL_DATA_FIELDS[[#This Row],[FIELD_VALID_CUSTOM_LOGIC]]),DB_TBL_DATA_FIELDS[[#This Row],[RANGE_VALIDATION_PASSED_FLAG]])</f>
        <v>1</v>
      </c>
      <c r="M278"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78" s="7">
        <f ca="1">IF(DB_TBL_DATA_FIELDS[[#This Row],[SHEET_REF_CALC]]="","",IF(DB_TBL_DATA_FIELDS[[#This Row],[FIELD_EMPTY_FLAG]],IF(NOT(DB_TBL_DATA_FIELDS[[#This Row],[FIELD_REQ_FLAG]]),-1,1),IF(NOT(DB_TBL_DATA_FIELDS[[#This Row],[FIELD_VALID_FLAG]]),0,2)))</f>
        <v>-1</v>
      </c>
      <c r="O278" s="7" t="str">
        <f ca="1">IFERROR(VLOOKUP(DB_TBL_DATA_FIELDS[[#This Row],[FIELD_STATUS_CODE]],DB_TBL_CONFIG_FIELDSTATUSCODES[#All],3,FALSE),"")</f>
        <v>Optional</v>
      </c>
      <c r="P278" s="7" t="str">
        <f ca="1">IFERROR(VLOOKUP(DB_TBL_DATA_FIELDS[[#This Row],[FIELD_STATUS_CODE]],DB_TBL_CONFIG_FIELDSTATUSCODES[#All],4,FALSE),"")</f>
        <v xml:space="preserve"> </v>
      </c>
      <c r="Q278" s="7" t="b">
        <f>TRUE</f>
        <v>1</v>
      </c>
      <c r="R278" s="7" t="b">
        <f>TRUE</f>
        <v>1</v>
      </c>
      <c r="S278" s="1" t="s">
        <v>11</v>
      </c>
      <c r="T278" s="7">
        <f ca="1">IF(DB_TBL_DATA_FIELDS[[#This Row],[RANGE_VALIDATION_FLAG]]="Text",LEN(DB_TBL_DATA_FIELDS[[#This Row],[FIELD_VALUE_RAW]]),IFERROR(VALUE(DB_TBL_DATA_FIELDS[[#This Row],[FIELD_VALUE_RAW]]),-1))</f>
        <v>0</v>
      </c>
      <c r="U278" s="7">
        <v>0</v>
      </c>
      <c r="V278" s="101">
        <f>CONFIG_CHAR_LIMIT_SMALL</f>
        <v>1000</v>
      </c>
      <c r="W278" s="7" t="b">
        <f ca="1">IF(NOT(DB_TBL_DATA_FIELDS[[#This Row],[RANGE_VALIDATION_ON_FLAG]]),TRUE,
AND(DB_TBL_DATA_FIELDS[[#This Row],[RANGE_VALUE_LEN]]&gt;=DB_TBL_DATA_FIELDS[[#This Row],[RANGE_VALIDATION_MIN]],DB_TBL_DATA_FIELDS[[#This Row],[RANGE_VALUE_LEN]]&lt;=DB_TBL_DATA_FIELDS[[#This Row],[RANGE_VALIDATION_MAX]]))</f>
        <v>1</v>
      </c>
      <c r="X278" s="7">
        <v>1</v>
      </c>
      <c r="Y278" s="7">
        <f ca="1">IF(DB_TBL_DATA_FIELDS[[#This Row],[PCT_CALC_SHOW_STATUS_CODE]]=1,
DB_TBL_DATA_FIELDS[[#This Row],[FIELD_STATUS_CODE]],
IF(AND(DB_TBL_DATA_FIELDS[[#This Row],[PCT_CALC_SHOW_STATUS_CODE]]=2,DB_TBL_DATA_FIELDS[[#This Row],[FIELD_STATUS_CODE]]=0),
DB_TBL_DATA_FIELDS[[#This Row],[FIELD_STATUS_CODE]],
"")
)</f>
        <v>-1</v>
      </c>
      <c r="Z278" s="7"/>
      <c r="AA278" s="10" t="s">
        <v>3197</v>
      </c>
      <c r="AB278" s="10" t="s">
        <v>3208</v>
      </c>
      <c r="AC278" s="7"/>
    </row>
    <row r="279" spans="1:29" x14ac:dyDescent="0.2">
      <c r="A279" s="4"/>
      <c r="B279" s="4" t="s">
        <v>64</v>
      </c>
      <c r="C279" s="8" t="str">
        <f ca="1">IF($H$10&lt;&gt;"R",IF(DB_TBL_DATA_FIELDS[[#This Row],[SHEET_REF_OWNER]]&lt;&gt;"",DB_TBL_DATA_FIELDS[[#This Row],[SHEET_REF_OWNER]],""),IF(DB_TBL_DATA_FIELDS[[#This Row],[SHEET_REF_RENTAL]]&lt;&gt;"",DB_TBL_DATA_FIELDS[[#This Row],[SHEET_REF_RENTAL]],""))</f>
        <v>RentalApp</v>
      </c>
      <c r="D279" s="89" t="s">
        <v>3153</v>
      </c>
      <c r="E279" s="1" t="b">
        <v>0</v>
      </c>
      <c r="F279" s="112" t="b">
        <f ca="1">IF(SCATTERED_SITE_DOWNPAYMENT_FLAG=TRUE,FALSE,IF(AND(PARTCONTROL_UNITS&lt;&gt;"",PARTCONTROL_UNITS&gt;0),TRUE,FALSE))</f>
        <v>0</v>
      </c>
      <c r="G279" s="2" t="s">
        <v>3163</v>
      </c>
      <c r="H279" s="10" t="str">
        <f ca="1">IFERROR(VLOOKUP(DB_TBL_DATA_FIELDS[[#This Row],[FIELD_ID]],INDIRECT(DB_TBL_DATA_FIELDS[[#This Row],[SHEET_REF_CALC]]&amp;"!A:B"),2,FALSE),"")</f>
        <v/>
      </c>
      <c r="I279" s="44" t="str">
        <f ca="1">IF(DB_TBL_DATA_FIELDS[[#This Row],[FIELD_EMPTY_FLAG]],"",IF(SCATTERED_SITE_DOWNPAYMENT_FLAG=TRUE,FALSE,IF(OR(PARTCONTROL_UNITS="",PARTCONTROL_UNITS=0),FALSE,TRUE)))</f>
        <v/>
      </c>
      <c r="J279" s="2" t="b">
        <f ca="1">(DB_TBL_DATA_FIELDS[[#This Row],[FIELD_VALUE_RAW]]="")</f>
        <v>1</v>
      </c>
      <c r="K279" s="2" t="s">
        <v>209</v>
      </c>
      <c r="L279" s="7" t="b">
        <f ca="1">AND(IF(DB_TBL_DATA_FIELDS[[#This Row],[FIELD_VALID_CUSTOM_LOGIC]]="",TRUE,DB_TBL_DATA_FIELDS[[#This Row],[FIELD_VALID_CUSTOM_LOGIC]]),DB_TBL_DATA_FIELDS[[#This Row],[RANGE_VALIDATION_PASSED_FLAG]])</f>
        <v>1</v>
      </c>
      <c r="M279"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79" s="7">
        <f ca="1">IF(DB_TBL_DATA_FIELDS[[#This Row],[SHEET_REF_CALC]]="","",IF(DB_TBL_DATA_FIELDS[[#This Row],[FIELD_EMPTY_FLAG]],IF(NOT(DB_TBL_DATA_FIELDS[[#This Row],[FIELD_REQ_FLAG]]),-1,1),IF(NOT(DB_TBL_DATA_FIELDS[[#This Row],[FIELD_VALID_FLAG]]),0,2)))</f>
        <v>-1</v>
      </c>
      <c r="O279" s="7" t="str">
        <f ca="1">IFERROR(VLOOKUP(DB_TBL_DATA_FIELDS[[#This Row],[FIELD_STATUS_CODE]],DB_TBL_CONFIG_FIELDSTATUSCODES[#All],3,FALSE),"")</f>
        <v>Optional</v>
      </c>
      <c r="P279" s="7" t="str">
        <f ca="1">IFERROR(VLOOKUP(DB_TBL_DATA_FIELDS[[#This Row],[FIELD_STATUS_CODE]],DB_TBL_CONFIG_FIELDSTATUSCODES[#All],4,FALSE),"")</f>
        <v xml:space="preserve"> </v>
      </c>
      <c r="Q279" s="7" t="b">
        <f>TRUE</f>
        <v>1</v>
      </c>
      <c r="R279" s="7" t="b">
        <v>0</v>
      </c>
      <c r="T279" s="7">
        <f ca="1">IF(DB_TBL_DATA_FIELDS[[#This Row],[RANGE_VALIDATION_FLAG]]="Text",LEN(DB_TBL_DATA_FIELDS[[#This Row],[FIELD_VALUE_RAW]]),IFERROR(VALUE(DB_TBL_DATA_FIELDS[[#This Row],[FIELD_VALUE_RAW]]),-1))</f>
        <v>-1</v>
      </c>
      <c r="U279" s="7">
        <v>0</v>
      </c>
      <c r="V279" s="7">
        <v>1</v>
      </c>
      <c r="W279" s="7" t="b">
        <f>IF(NOT(DB_TBL_DATA_FIELDS[[#This Row],[RANGE_VALIDATION_ON_FLAG]]),TRUE,
AND(DB_TBL_DATA_FIELDS[[#This Row],[RANGE_VALUE_LEN]]&gt;=DB_TBL_DATA_FIELDS[[#This Row],[RANGE_VALIDATION_MIN]],DB_TBL_DATA_FIELDS[[#This Row],[RANGE_VALUE_LEN]]&lt;=DB_TBL_DATA_FIELDS[[#This Row],[RANGE_VALIDATION_MAX]]))</f>
        <v>1</v>
      </c>
      <c r="X279" s="7">
        <v>1</v>
      </c>
      <c r="Y279" s="7">
        <f ca="1">IF(DB_TBL_DATA_FIELDS[[#This Row],[PCT_CALC_SHOW_STATUS_CODE]]=1,
DB_TBL_DATA_FIELDS[[#This Row],[FIELD_STATUS_CODE]],
IF(AND(DB_TBL_DATA_FIELDS[[#This Row],[PCT_CALC_SHOW_STATUS_CODE]]=2,DB_TBL_DATA_FIELDS[[#This Row],[FIELD_STATUS_CODE]]=0),
DB_TBL_DATA_FIELDS[[#This Row],[FIELD_STATUS_CODE]],
"")
)</f>
        <v>-1</v>
      </c>
      <c r="Z279" s="7"/>
      <c r="AA279" s="10" t="s">
        <v>3198</v>
      </c>
      <c r="AB279" s="10" t="s">
        <v>3208</v>
      </c>
      <c r="AC279" s="7"/>
    </row>
    <row r="280" spans="1:29" x14ac:dyDescent="0.2">
      <c r="A280" s="4"/>
      <c r="B280" s="4" t="s">
        <v>64</v>
      </c>
      <c r="C280" s="8" t="str">
        <f ca="1">IF($H$10&lt;&gt;"R",IF(DB_TBL_DATA_FIELDS[[#This Row],[SHEET_REF_OWNER]]&lt;&gt;"",DB_TBL_DATA_FIELDS[[#This Row],[SHEET_REF_OWNER]],""),IF(DB_TBL_DATA_FIELDS[[#This Row],[SHEET_REF_RENTAL]]&lt;&gt;"",DB_TBL_DATA_FIELDS[[#This Row],[SHEET_REF_RENTAL]],""))</f>
        <v>RentalApp</v>
      </c>
      <c r="D280" s="89" t="s">
        <v>3154</v>
      </c>
      <c r="E280" s="1" t="b">
        <v>0</v>
      </c>
      <c r="F280" s="112" t="b">
        <f ca="1">IF(SCATTERED_SITE_DOWNPAYMENT_FLAG=TRUE,FALSE,IF(AND(PARTCONTROL_UNITS&lt;&gt;"",PARTCONTROL_UNITS&gt;0,H279=TRUE),TRUE,FALSE))</f>
        <v>0</v>
      </c>
      <c r="G280" s="2" t="s">
        <v>3164</v>
      </c>
      <c r="H280" s="10" t="str">
        <f ca="1">IFERROR(VLOOKUP(DB_TBL_DATA_FIELDS[[#This Row],[FIELD_ID]],INDIRECT(DB_TBL_DATA_FIELDS[[#This Row],[SHEET_REF_CALC]]&amp;"!A:B"),2,FALSE),"")</f>
        <v/>
      </c>
      <c r="I280" s="44" t="str">
        <f ca="1">IF(DB_TBL_DATA_FIELDS[[#This Row],[FIELD_EMPTY_FLAG]],"",IF(SCATTERED_SITE_DOWNPAYMENT_FLAG=TRUE,FALSE,IF(OR(PARTCONTROL_UNITS="",PARTCONTROL_UNITS=0,H279&lt;&gt;TRUE),FALSE,TRUE)))</f>
        <v/>
      </c>
      <c r="J280" s="2" t="b">
        <f ca="1">(DB_TBL_DATA_FIELDS[[#This Row],[FIELD_VALUE_RAW]]="")</f>
        <v>1</v>
      </c>
      <c r="K280" s="2" t="s">
        <v>11</v>
      </c>
      <c r="L280" s="7" t="b">
        <f ca="1">AND(IF(DB_TBL_DATA_FIELDS[[#This Row],[FIELD_VALID_CUSTOM_LOGIC]]="",TRUE,DB_TBL_DATA_FIELDS[[#This Row],[FIELD_VALID_CUSTOM_LOGIC]]),DB_TBL_DATA_FIELDS[[#This Row],[RANGE_VALIDATION_PASSED_FLAG]])</f>
        <v>1</v>
      </c>
      <c r="M280"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80" s="7">
        <f ca="1">IF(DB_TBL_DATA_FIELDS[[#This Row],[SHEET_REF_CALC]]="","",IF(DB_TBL_DATA_FIELDS[[#This Row],[FIELD_EMPTY_FLAG]],IF(NOT(DB_TBL_DATA_FIELDS[[#This Row],[FIELD_REQ_FLAG]]),-1,1),IF(NOT(DB_TBL_DATA_FIELDS[[#This Row],[FIELD_VALID_FLAG]]),0,2)))</f>
        <v>-1</v>
      </c>
      <c r="O280" s="7" t="str">
        <f ca="1">IFERROR(VLOOKUP(DB_TBL_DATA_FIELDS[[#This Row],[FIELD_STATUS_CODE]],DB_TBL_CONFIG_FIELDSTATUSCODES[#All],3,FALSE),"")</f>
        <v>Optional</v>
      </c>
      <c r="P280" s="7" t="str">
        <f ca="1">IFERROR(VLOOKUP(DB_TBL_DATA_FIELDS[[#This Row],[FIELD_STATUS_CODE]],DB_TBL_CONFIG_FIELDSTATUSCODES[#All],4,FALSE),"")</f>
        <v xml:space="preserve"> </v>
      </c>
      <c r="Q280" s="7" t="b">
        <f>TRUE</f>
        <v>1</v>
      </c>
      <c r="R280" s="7" t="b">
        <f>TRUE</f>
        <v>1</v>
      </c>
      <c r="S280" s="1" t="s">
        <v>11</v>
      </c>
      <c r="T280" s="7">
        <f ca="1">IF(DB_TBL_DATA_FIELDS[[#This Row],[RANGE_VALIDATION_FLAG]]="Text",LEN(DB_TBL_DATA_FIELDS[[#This Row],[FIELD_VALUE_RAW]]),IFERROR(VALUE(DB_TBL_DATA_FIELDS[[#This Row],[FIELD_VALUE_RAW]]),-1))</f>
        <v>0</v>
      </c>
      <c r="U280" s="7">
        <v>0</v>
      </c>
      <c r="V280" s="101">
        <f>CONFIG_CHAR_LIMIT_SMALL</f>
        <v>1000</v>
      </c>
      <c r="W280" s="7" t="b">
        <f ca="1">IF(NOT(DB_TBL_DATA_FIELDS[[#This Row],[RANGE_VALIDATION_ON_FLAG]]),TRUE,
AND(DB_TBL_DATA_FIELDS[[#This Row],[RANGE_VALUE_LEN]]&gt;=DB_TBL_DATA_FIELDS[[#This Row],[RANGE_VALIDATION_MIN]],DB_TBL_DATA_FIELDS[[#This Row],[RANGE_VALUE_LEN]]&lt;=DB_TBL_DATA_FIELDS[[#This Row],[RANGE_VALIDATION_MAX]]))</f>
        <v>1</v>
      </c>
      <c r="X280" s="7">
        <v>1</v>
      </c>
      <c r="Y280" s="7">
        <f ca="1">IF(DB_TBL_DATA_FIELDS[[#This Row],[PCT_CALC_SHOW_STATUS_CODE]]=1,
DB_TBL_DATA_FIELDS[[#This Row],[FIELD_STATUS_CODE]],
IF(AND(DB_TBL_DATA_FIELDS[[#This Row],[PCT_CALC_SHOW_STATUS_CODE]]=2,DB_TBL_DATA_FIELDS[[#This Row],[FIELD_STATUS_CODE]]=0),
DB_TBL_DATA_FIELDS[[#This Row],[FIELD_STATUS_CODE]],
"")
)</f>
        <v>-1</v>
      </c>
      <c r="Z280" s="7"/>
      <c r="AA280" s="10" t="s">
        <v>3199</v>
      </c>
      <c r="AB280" s="10" t="s">
        <v>3208</v>
      </c>
      <c r="AC280" s="7"/>
    </row>
    <row r="281" spans="1:29" x14ac:dyDescent="0.2">
      <c r="A281" s="4" t="s">
        <v>65</v>
      </c>
      <c r="B281" s="4" t="s">
        <v>64</v>
      </c>
      <c r="C281" s="8" t="str">
        <f ca="1">IF($H$10&lt;&gt;"R",IF(DB_TBL_DATA_FIELDS[[#This Row],[SHEET_REF_OWNER]]&lt;&gt;"",DB_TBL_DATA_FIELDS[[#This Row],[SHEET_REF_OWNER]],""),IF(DB_TBL_DATA_FIELDS[[#This Row],[SHEET_REF_RENTAL]]&lt;&gt;"",DB_TBL_DATA_FIELDS[[#This Row],[SHEET_REF_RENTAL]],""))</f>
        <v>RentalApp</v>
      </c>
      <c r="D281" s="385" t="s">
        <v>3165</v>
      </c>
      <c r="E281" s="1" t="b">
        <v>1</v>
      </c>
      <c r="F281" s="386" t="b">
        <v>0</v>
      </c>
      <c r="G281" s="387" t="s">
        <v>3166</v>
      </c>
      <c r="H281" s="388"/>
      <c r="I281" s="44" t="str">
        <f>IF(DB_TBL_DATA_FIELDS[[#This Row],[FIELD_EMPTY_FLAG]],"",IF(SCATTERED_SITE_DOWNPAYMENT_FLAG=TRUE,FALSE,IF(AND(FULLCONTROL_UNITS="",PARTCONTROL_UNITS=""),TRUE,(CONFORMING_UNITS+IF(NONCONFORMING_UNITS&lt;&gt;"",NONCONFORMING_UNITS,0))&lt;=(IF(FULLCONTROL_UNITS&lt;&gt;"",FULLCONTROL_UNITS,)+IF(PARTCONTROL_UNITS&lt;&gt;"",PARTCONTROL_UNITS,)))))</f>
        <v/>
      </c>
      <c r="J281" s="2" t="b">
        <f>(DB_TBL_DATA_FIELDS[[#This Row],[FIELD_VALUE_RAW]]="")</f>
        <v>1</v>
      </c>
      <c r="K281" s="2" t="s">
        <v>62</v>
      </c>
      <c r="L281" s="7" t="b">
        <f>AND(IF(DB_TBL_DATA_FIELDS[[#This Row],[FIELD_VALID_CUSTOM_LOGIC]]="",TRUE,DB_TBL_DATA_FIELDS[[#This Row],[FIELD_VALID_CUSTOM_LOGIC]]),DB_TBL_DATA_FIELDS[[#This Row],[RANGE_VALIDATION_PASSED_FLAG]])</f>
        <v>1</v>
      </c>
      <c r="M281" s="10"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81" s="7">
        <f ca="1">IF(DB_TBL_DATA_FIELDS[[#This Row],[SHEET_REF_CALC]]="","",IF(DB_TBL_DATA_FIELDS[[#This Row],[FIELD_EMPTY_FLAG]],IF(NOT(DB_TBL_DATA_FIELDS[[#This Row],[FIELD_REQ_FLAG]]),-1,1),IF(NOT(DB_TBL_DATA_FIELDS[[#This Row],[FIELD_VALID_FLAG]]),0,2)))</f>
        <v>-1</v>
      </c>
      <c r="O281" s="7" t="str">
        <f ca="1">IFERROR(VLOOKUP(DB_TBL_DATA_FIELDS[[#This Row],[FIELD_STATUS_CODE]],DB_TBL_CONFIG_FIELDSTATUSCODES[#All],3,FALSE),"")</f>
        <v>Optional</v>
      </c>
      <c r="P281" s="7" t="str">
        <f ca="1">IFERROR(VLOOKUP(DB_TBL_DATA_FIELDS[[#This Row],[FIELD_STATUS_CODE]],DB_TBL_CONFIG_FIELDSTATUSCODES[#All],4,FALSE),"")</f>
        <v xml:space="preserve"> </v>
      </c>
      <c r="Q281" s="7" t="b">
        <f>TRUE</f>
        <v>1</v>
      </c>
      <c r="R281" s="7" t="b">
        <f>TRUE</f>
        <v>1</v>
      </c>
      <c r="S281" s="1" t="s">
        <v>62</v>
      </c>
      <c r="T281" s="7">
        <f>IF(DB_TBL_DATA_FIELDS[[#This Row],[RANGE_VALIDATION_FLAG]]="Text",LEN(DB_TBL_DATA_FIELDS[[#This Row],[FIELD_VALUE_RAW]]),IFERROR(VALUE(DB_TBL_DATA_FIELDS[[#This Row],[FIELD_VALUE_RAW]]),-1))</f>
        <v>0</v>
      </c>
      <c r="U281" s="7">
        <v>0</v>
      </c>
      <c r="V281" s="8">
        <v>999999999999</v>
      </c>
      <c r="W281" s="7" t="b">
        <f>IF(NOT(DB_TBL_DATA_FIELDS[[#This Row],[RANGE_VALIDATION_ON_FLAG]]),TRUE,
AND(DB_TBL_DATA_FIELDS[[#This Row],[RANGE_VALUE_LEN]]&gt;=DB_TBL_DATA_FIELDS[[#This Row],[RANGE_VALIDATION_MIN]],DB_TBL_DATA_FIELDS[[#This Row],[RANGE_VALUE_LEN]]&lt;=DB_TBL_DATA_FIELDS[[#This Row],[RANGE_VALIDATION_MAX]]))</f>
        <v>1</v>
      </c>
      <c r="X281" s="7">
        <v>1</v>
      </c>
      <c r="Y281" s="7">
        <f ca="1">IF(DB_TBL_DATA_FIELDS[[#This Row],[PCT_CALC_SHOW_STATUS_CODE]]=1,
DB_TBL_DATA_FIELDS[[#This Row],[FIELD_STATUS_CODE]],
IF(AND(DB_TBL_DATA_FIELDS[[#This Row],[PCT_CALC_SHOW_STATUS_CODE]]=2,DB_TBL_DATA_FIELDS[[#This Row],[FIELD_STATUS_CODE]]=0),
DB_TBL_DATA_FIELDS[[#This Row],[FIELD_STATUS_CODE]],
"")
)</f>
        <v>-1</v>
      </c>
      <c r="Z281" s="101" t="str">
        <f>IF(DB_TBL_DATA_FIELDS[[#This Row],[FIELD_VALID_CUSTOM_LOGIC]]="","",IF(AND(NOT(DB_TBL_DATA_FIELDS[[#This Row],[FIELD_VALID_CUSTOM_LOGIC]]),SCATTERED_SITE_DOWNPAYMENT_FLAG&lt;&gt;TRUE),IF(NONCONFORMING_UNITS&lt;&gt;"","Sum Exceeds Full + Partial Site Control Units","Exceeds Full + Partial Site Control Units"),""))</f>
        <v/>
      </c>
      <c r="AA281" s="10" t="s">
        <v>3200</v>
      </c>
      <c r="AB281" s="10" t="s">
        <v>3208</v>
      </c>
      <c r="AC281" s="7" t="s">
        <v>3698</v>
      </c>
    </row>
    <row r="282" spans="1:29" x14ac:dyDescent="0.2">
      <c r="A282" s="4" t="s">
        <v>65</v>
      </c>
      <c r="B282" s="4" t="s">
        <v>64</v>
      </c>
      <c r="C282" s="8" t="str">
        <f ca="1">IF($H$10&lt;&gt;"R",IF(DB_TBL_DATA_FIELDS[[#This Row],[SHEET_REF_OWNER]]&lt;&gt;"",DB_TBL_DATA_FIELDS[[#This Row],[SHEET_REF_OWNER]],""),IF(DB_TBL_DATA_FIELDS[[#This Row],[SHEET_REF_RENTAL]]&lt;&gt;"",DB_TBL_DATA_FIELDS[[#This Row],[SHEET_REF_RENTAL]],""))</f>
        <v>RentalApp</v>
      </c>
      <c r="D282" s="385" t="s">
        <v>3168</v>
      </c>
      <c r="E282" s="1" t="b">
        <v>1</v>
      </c>
      <c r="F282" s="386" t="b">
        <v>0</v>
      </c>
      <c r="G282" s="387" t="s">
        <v>3167</v>
      </c>
      <c r="H282" s="388"/>
      <c r="I282" s="44" t="str">
        <f>IF(DB_TBL_DATA_FIELDS[[#This Row],[FIELD_EMPTY_FLAG]],"",IF(SCATTERED_SITE_DOWNPAYMENT_FLAG=TRUE,FALSE,IF(AND(FULLCONTROL_UNITS="",PARTCONTROL_UNITS=""),TRUE,(NONCONFORMING_UNITS+IF(CONFORMING_UNITS&lt;&gt;"",CONFORMING_UNITS,0))&lt;=(IF(FULLCONTROL_UNITS&lt;&gt;"",FULLCONTROL_UNITS,0)+IF(PARTCONTROL_UNITS&lt;&gt;"",PARTCONTROL_UNITS,0)))))</f>
        <v/>
      </c>
      <c r="J282" s="2" t="b">
        <f>(DB_TBL_DATA_FIELDS[[#This Row],[FIELD_VALUE_RAW]]="")</f>
        <v>1</v>
      </c>
      <c r="K282" s="2" t="s">
        <v>62</v>
      </c>
      <c r="L282" s="7" t="b">
        <f>AND(IF(DB_TBL_DATA_FIELDS[[#This Row],[FIELD_VALID_CUSTOM_LOGIC]]="",TRUE,DB_TBL_DATA_FIELDS[[#This Row],[FIELD_VALID_CUSTOM_LOGIC]]),DB_TBL_DATA_FIELDS[[#This Row],[RANGE_VALIDATION_PASSED_FLAG]])</f>
        <v>1</v>
      </c>
      <c r="M282" s="10"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82" s="7">
        <f ca="1">IF(DB_TBL_DATA_FIELDS[[#This Row],[SHEET_REF_CALC]]="","",IF(DB_TBL_DATA_FIELDS[[#This Row],[FIELD_EMPTY_FLAG]],IF(NOT(DB_TBL_DATA_FIELDS[[#This Row],[FIELD_REQ_FLAG]]),-1,1),IF(NOT(DB_TBL_DATA_FIELDS[[#This Row],[FIELD_VALID_FLAG]]),0,2)))</f>
        <v>-1</v>
      </c>
      <c r="O282" s="7" t="str">
        <f ca="1">IFERROR(VLOOKUP(DB_TBL_DATA_FIELDS[[#This Row],[FIELD_STATUS_CODE]],DB_TBL_CONFIG_FIELDSTATUSCODES[#All],3,FALSE),"")</f>
        <v>Optional</v>
      </c>
      <c r="P282" s="7" t="str">
        <f ca="1">IFERROR(VLOOKUP(DB_TBL_DATA_FIELDS[[#This Row],[FIELD_STATUS_CODE]],DB_TBL_CONFIG_FIELDSTATUSCODES[#All],4,FALSE),"")</f>
        <v xml:space="preserve"> </v>
      </c>
      <c r="Q282" s="7" t="b">
        <f>TRUE</f>
        <v>1</v>
      </c>
      <c r="R282" s="7" t="b">
        <f>TRUE</f>
        <v>1</v>
      </c>
      <c r="S282" s="1" t="s">
        <v>62</v>
      </c>
      <c r="T282" s="7">
        <f>IF(DB_TBL_DATA_FIELDS[[#This Row],[RANGE_VALIDATION_FLAG]]="Text",LEN(DB_TBL_DATA_FIELDS[[#This Row],[FIELD_VALUE_RAW]]),IFERROR(VALUE(DB_TBL_DATA_FIELDS[[#This Row],[FIELD_VALUE_RAW]]),-1))</f>
        <v>0</v>
      </c>
      <c r="U282" s="7">
        <v>0</v>
      </c>
      <c r="V282" s="8">
        <v>999999999999</v>
      </c>
      <c r="W282" s="7" t="b">
        <f>IF(NOT(DB_TBL_DATA_FIELDS[[#This Row],[RANGE_VALIDATION_ON_FLAG]]),TRUE,
AND(DB_TBL_DATA_FIELDS[[#This Row],[RANGE_VALUE_LEN]]&gt;=DB_TBL_DATA_FIELDS[[#This Row],[RANGE_VALIDATION_MIN]],DB_TBL_DATA_FIELDS[[#This Row],[RANGE_VALUE_LEN]]&lt;=DB_TBL_DATA_FIELDS[[#This Row],[RANGE_VALIDATION_MAX]]))</f>
        <v>1</v>
      </c>
      <c r="X282" s="7">
        <v>1</v>
      </c>
      <c r="Y282" s="7">
        <f ca="1">IF(DB_TBL_DATA_FIELDS[[#This Row],[PCT_CALC_SHOW_STATUS_CODE]]=1,
DB_TBL_DATA_FIELDS[[#This Row],[FIELD_STATUS_CODE]],
IF(AND(DB_TBL_DATA_FIELDS[[#This Row],[PCT_CALC_SHOW_STATUS_CODE]]=2,DB_TBL_DATA_FIELDS[[#This Row],[FIELD_STATUS_CODE]]=0),
DB_TBL_DATA_FIELDS[[#This Row],[FIELD_STATUS_CODE]],
"")
)</f>
        <v>-1</v>
      </c>
      <c r="Z282" s="101" t="str">
        <f>IF(DB_TBL_DATA_FIELDS[[#This Row],[FIELD_VALID_CUSTOM_LOGIC]]="","",IF(AND(NOT(DB_TBL_DATA_FIELDS[[#This Row],[FIELD_VALID_CUSTOM_LOGIC]]),SCATTERED_SITE_DOWNPAYMENT_FLAG&lt;&gt;TRUE),IF(CONFORMING_UNITS&lt;&gt;"","Sum Exceeds Full + Partial Site Control Units","Exceeds Full + Partial Site Control Units"),""))</f>
        <v/>
      </c>
      <c r="AA282" s="10" t="s">
        <v>3201</v>
      </c>
      <c r="AB282" s="10" t="s">
        <v>3208</v>
      </c>
      <c r="AC282" s="7" t="s">
        <v>3698</v>
      </c>
    </row>
    <row r="283" spans="1:29" x14ac:dyDescent="0.2">
      <c r="A283" s="4" t="s">
        <v>65</v>
      </c>
      <c r="B283" s="4" t="s">
        <v>64</v>
      </c>
      <c r="C283" s="8" t="str">
        <f ca="1">IF($H$10&lt;&gt;"R",IF(DB_TBL_DATA_FIELDS[[#This Row],[SHEET_REF_OWNER]]&lt;&gt;"",DB_TBL_DATA_FIELDS[[#This Row],[SHEET_REF_OWNER]],""),IF(DB_TBL_DATA_FIELDS[[#This Row],[SHEET_REF_RENTAL]]&lt;&gt;"",DB_TBL_DATA_FIELDS[[#This Row],[SHEET_REF_RENTAL]],""))</f>
        <v>RentalApp</v>
      </c>
      <c r="D283" s="1" t="s">
        <v>3169</v>
      </c>
      <c r="E283" s="1" t="b">
        <v>1</v>
      </c>
      <c r="F283" s="112" t="b">
        <f ca="1">IF(OR(FULLCONTROL_UNITS="",FULLCONTROL_UNITS=0,SCATTERED_SITE_DOWNPAYMENT_FLAG=TRUE),FALSE,OR(READYLETTER_UNITS="",READYLETTER_UNITS&lt;FULLCONTROL_UNITS))</f>
        <v>0</v>
      </c>
      <c r="G283" s="2" t="s">
        <v>3174</v>
      </c>
      <c r="H283" s="10" t="str">
        <f ca="1">IFERROR(VLOOKUP(DB_TBL_DATA_FIELDS[[#This Row],[FIELD_ID]],INDIRECT(DB_TBL_DATA_FIELDS[[#This Row],[SHEET_REF_CALC]]&amp;"!A:B"),2,FALSE),"")</f>
        <v/>
      </c>
      <c r="I283" s="44" t="str">
        <f ca="1">IF(DB_TBL_DATA_FIELDS[[#This Row],[FIELD_EMPTY_FLAG]],"",IF(OR(FULLCONTROL_UNITS="",FULLCONTROL_UNITS&lt;1,SCATTERED_SITE_DOWNPAYMENT_FLAG=TRUE),FALSE,(BUILDINGPERMIT_UNITS+IF(READYLETTER_UNITS&lt;&gt;"",READYLETTER_UNITS,0))&lt;=FULLCONTROL_UNITS))</f>
        <v/>
      </c>
      <c r="J283" s="2" t="b">
        <f ca="1">(DB_TBL_DATA_FIELDS[[#This Row],[FIELD_VALUE_RAW]]="")</f>
        <v>1</v>
      </c>
      <c r="K283" s="2" t="s">
        <v>62</v>
      </c>
      <c r="L283" s="7" t="b">
        <f ca="1">AND(IF(DB_TBL_DATA_FIELDS[[#This Row],[FIELD_VALID_CUSTOM_LOGIC]]="",TRUE,DB_TBL_DATA_FIELDS[[#This Row],[FIELD_VALID_CUSTOM_LOGIC]]),DB_TBL_DATA_FIELDS[[#This Row],[RANGE_VALIDATION_PASSED_FLAG]])</f>
        <v>0</v>
      </c>
      <c r="M283"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83" s="7">
        <f ca="1">IF(DB_TBL_DATA_FIELDS[[#This Row],[SHEET_REF_CALC]]="","",IF(DB_TBL_DATA_FIELDS[[#This Row],[FIELD_EMPTY_FLAG]],IF(NOT(DB_TBL_DATA_FIELDS[[#This Row],[FIELD_REQ_FLAG]]),-1,1),IF(NOT(DB_TBL_DATA_FIELDS[[#This Row],[FIELD_VALID_FLAG]]),0,2)))</f>
        <v>-1</v>
      </c>
      <c r="O283" s="7" t="str">
        <f ca="1">IFERROR(VLOOKUP(DB_TBL_DATA_FIELDS[[#This Row],[FIELD_STATUS_CODE]],DB_TBL_CONFIG_FIELDSTATUSCODES[#All],3,FALSE),"")</f>
        <v>Optional</v>
      </c>
      <c r="P283" s="7" t="str">
        <f ca="1">IFERROR(VLOOKUP(DB_TBL_DATA_FIELDS[[#This Row],[FIELD_STATUS_CODE]],DB_TBL_CONFIG_FIELDSTATUSCODES[#All],4,FALSE),"")</f>
        <v xml:space="preserve"> </v>
      </c>
      <c r="Q283" s="7" t="b">
        <f>TRUE</f>
        <v>1</v>
      </c>
      <c r="R283" s="7" t="b">
        <f>TRUE</f>
        <v>1</v>
      </c>
      <c r="S283" s="1" t="s">
        <v>62</v>
      </c>
      <c r="T283" s="7">
        <f ca="1">IF(DB_TBL_DATA_FIELDS[[#This Row],[RANGE_VALIDATION_FLAG]]="Text",LEN(DB_TBL_DATA_FIELDS[[#This Row],[FIELD_VALUE_RAW]]),IFERROR(VALUE(DB_TBL_DATA_FIELDS[[#This Row],[FIELD_VALUE_RAW]]),-1))</f>
        <v>-1</v>
      </c>
      <c r="U283" s="7">
        <v>0</v>
      </c>
      <c r="V283" s="8">
        <v>999999999999</v>
      </c>
      <c r="W283" s="7" t="b">
        <f ca="1">IF(NOT(DB_TBL_DATA_FIELDS[[#This Row],[RANGE_VALIDATION_ON_FLAG]]),TRUE,
AND(DB_TBL_DATA_FIELDS[[#This Row],[RANGE_VALUE_LEN]]&gt;=DB_TBL_DATA_FIELDS[[#This Row],[RANGE_VALIDATION_MIN]],DB_TBL_DATA_FIELDS[[#This Row],[RANGE_VALUE_LEN]]&lt;=DB_TBL_DATA_FIELDS[[#This Row],[RANGE_VALIDATION_MAX]]))</f>
        <v>0</v>
      </c>
      <c r="X283" s="7">
        <v>1</v>
      </c>
      <c r="Y283" s="7">
        <f ca="1">IF(DB_TBL_DATA_FIELDS[[#This Row],[PCT_CALC_SHOW_STATUS_CODE]]=1,
DB_TBL_DATA_FIELDS[[#This Row],[FIELD_STATUS_CODE]],
IF(AND(DB_TBL_DATA_FIELDS[[#This Row],[PCT_CALC_SHOW_STATUS_CODE]]=2,DB_TBL_DATA_FIELDS[[#This Row],[FIELD_STATUS_CODE]]=0),
DB_TBL_DATA_FIELDS[[#This Row],[FIELD_STATUS_CODE]],
"")
)</f>
        <v>-1</v>
      </c>
      <c r="Z283" s="101" t="str">
        <f ca="1">IF(DB_TBL_DATA_FIELDS[[#This Row],[FIELD_VALID_CUSTOM_LOGIC]]="","",IF(AND(NOT(DB_TBL_DATA_FIELDS[[#This Row],[FIELD_VALID_CUSTOM_LOGIC]]),SCATTERED_SITE_DOWNPAYMENT_FLAG&lt;&gt;TRUE,FULLCONTROL_UNITS&lt;&gt;"",FULLCONTROL_UNITS&gt;0),IF(READYLETTER_UNITS&lt;&gt;"","Sum Exceeds Full Site Control Units","Exceeds Full Site Control Units"),""))</f>
        <v/>
      </c>
      <c r="AA283" s="10" t="s">
        <v>3202</v>
      </c>
      <c r="AB283" s="10" t="s">
        <v>3208</v>
      </c>
      <c r="AC283" s="7"/>
    </row>
    <row r="284" spans="1:29" x14ac:dyDescent="0.2">
      <c r="A284" s="4" t="s">
        <v>65</v>
      </c>
      <c r="B284" s="4" t="s">
        <v>64</v>
      </c>
      <c r="C284" s="8" t="str">
        <f ca="1">IF($H$10&lt;&gt;"R",IF(DB_TBL_DATA_FIELDS[[#This Row],[SHEET_REF_OWNER]]&lt;&gt;"",DB_TBL_DATA_FIELDS[[#This Row],[SHEET_REF_OWNER]],""),IF(DB_TBL_DATA_FIELDS[[#This Row],[SHEET_REF_RENTAL]]&lt;&gt;"",DB_TBL_DATA_FIELDS[[#This Row],[SHEET_REF_RENTAL]],""))</f>
        <v>RentalApp</v>
      </c>
      <c r="D284" s="1" t="s">
        <v>3172</v>
      </c>
      <c r="E284" s="1" t="b">
        <v>1</v>
      </c>
      <c r="F284" s="112" t="b">
        <f ca="1">IF(OR(FULLCONTROL_UNITS="",FULLCONTROL_UNITS=0,SCATTERED_SITE_DOWNPAYMENT_FLAG=TRUE),FALSE,AND(BUILDINGPERMIT_UNITS&lt;&gt;"",BUILDINGPERMIT_UNITS&gt;0))</f>
        <v>0</v>
      </c>
      <c r="G284" s="2" t="s">
        <v>3175</v>
      </c>
      <c r="H284" s="44" t="str">
        <f ca="1">IFERROR(TEXT(VLOOKUP(DB_TBL_DATA_FIELDS[[#This Row],[FIELD_ID]],INDIRECT(DB_TBL_DATA_FIELDS[[#This Row],[SHEET_REF_CALC]]&amp;"!A:B"),2,FALSE),"MM/DD/YYYY"),"")</f>
        <v/>
      </c>
      <c r="I284" s="44" t="str">
        <f ca="1">IF(DB_TBL_DATA_FIELDS[[#This Row],[FIELD_EMPTY_FLAG]],"",IF(OR(FULLCONTROL_UNITS="",FULLCONTROL_UNITS=0,SCATTERED_SITE_DOWNPAYMENT_FLAG=TRUE),FALSE,DB_TBL_DATA_FIELDS[[#This Row],[FIELD_REQ_FLAG]]))</f>
        <v/>
      </c>
      <c r="J284" s="2" t="b">
        <f ca="1">(DB_TBL_DATA_FIELDS[[#This Row],[FIELD_VALUE_RAW]]="")</f>
        <v>1</v>
      </c>
      <c r="K284" s="2" t="s">
        <v>38</v>
      </c>
      <c r="L284" s="7" t="b">
        <f ca="1">AND(IF(DB_TBL_DATA_FIELDS[[#This Row],[FIELD_VALID_CUSTOM_LOGIC]]="",TRUE,DB_TBL_DATA_FIELDS[[#This Row],[FIELD_VALID_CUSTOM_LOGIC]]),DB_TBL_DATA_FIELDS[[#This Row],[RANGE_VALIDATION_PASSED_FLAG]])</f>
        <v>1</v>
      </c>
      <c r="M284"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84" s="7">
        <f ca="1">IF(DB_TBL_DATA_FIELDS[[#This Row],[SHEET_REF_CALC]]="","",IF(DB_TBL_DATA_FIELDS[[#This Row],[FIELD_EMPTY_FLAG]],IF(NOT(DB_TBL_DATA_FIELDS[[#This Row],[FIELD_REQ_FLAG]]),-1,1),IF(NOT(DB_TBL_DATA_FIELDS[[#This Row],[FIELD_VALID_FLAG]]),0,2)))</f>
        <v>-1</v>
      </c>
      <c r="O284" s="7" t="str">
        <f ca="1">IFERROR(VLOOKUP(DB_TBL_DATA_FIELDS[[#This Row],[FIELD_STATUS_CODE]],DB_TBL_CONFIG_FIELDSTATUSCODES[#All],3,FALSE),"")</f>
        <v>Optional</v>
      </c>
      <c r="P284" s="7" t="str">
        <f ca="1">IFERROR(VLOOKUP(DB_TBL_DATA_FIELDS[[#This Row],[FIELD_STATUS_CODE]],DB_TBL_CONFIG_FIELDSTATUSCODES[#All],4,FALSE),"")</f>
        <v xml:space="preserve"> </v>
      </c>
      <c r="Q284" s="7" t="b">
        <f>TRUE</f>
        <v>1</v>
      </c>
      <c r="R284" s="7" t="b">
        <f>TRUE</f>
        <v>1</v>
      </c>
      <c r="S284" s="1" t="s">
        <v>11</v>
      </c>
      <c r="T284" s="7">
        <f ca="1">IF(DB_TBL_DATA_FIELDS[[#This Row],[RANGE_VALIDATION_FLAG]]="Text",LEN(DB_TBL_DATA_FIELDS[[#This Row],[FIELD_VALUE_RAW]]),IFERROR(VALUE(DB_TBL_DATA_FIELDS[[#This Row],[FIELD_VALUE_RAW]]),-1))</f>
        <v>0</v>
      </c>
      <c r="U284" s="7">
        <v>0</v>
      </c>
      <c r="V284" s="7">
        <v>32767</v>
      </c>
      <c r="W284" s="7" t="b">
        <f ca="1">IF(NOT(DB_TBL_DATA_FIELDS[[#This Row],[RANGE_VALIDATION_ON_FLAG]]),TRUE,
AND(DB_TBL_DATA_FIELDS[[#This Row],[RANGE_VALUE_LEN]]&gt;=DB_TBL_DATA_FIELDS[[#This Row],[RANGE_VALIDATION_MIN]],DB_TBL_DATA_FIELDS[[#This Row],[RANGE_VALUE_LEN]]&lt;=DB_TBL_DATA_FIELDS[[#This Row],[RANGE_VALIDATION_MAX]]))</f>
        <v>1</v>
      </c>
      <c r="X284" s="7">
        <v>1</v>
      </c>
      <c r="Y284" s="7">
        <f ca="1">IF(DB_TBL_DATA_FIELDS[[#This Row],[PCT_CALC_SHOW_STATUS_CODE]]=1,
DB_TBL_DATA_FIELDS[[#This Row],[FIELD_STATUS_CODE]],
IF(AND(DB_TBL_DATA_FIELDS[[#This Row],[PCT_CALC_SHOW_STATUS_CODE]]=2,DB_TBL_DATA_FIELDS[[#This Row],[FIELD_STATUS_CODE]]=0),
DB_TBL_DATA_FIELDS[[#This Row],[FIELD_STATUS_CODE]],
"")
)</f>
        <v>-1</v>
      </c>
      <c r="Z284" s="7"/>
      <c r="AA284" s="10" t="s">
        <v>3203</v>
      </c>
      <c r="AB284" s="10" t="s">
        <v>3208</v>
      </c>
      <c r="AC284" s="7"/>
    </row>
    <row r="285" spans="1:29" x14ac:dyDescent="0.2">
      <c r="A285" s="4" t="s">
        <v>65</v>
      </c>
      <c r="B285" s="4" t="s">
        <v>64</v>
      </c>
      <c r="C285" s="8" t="str">
        <f ca="1">IF($H$10&lt;&gt;"R",IF(DB_TBL_DATA_FIELDS[[#This Row],[SHEET_REF_OWNER]]&lt;&gt;"",DB_TBL_DATA_FIELDS[[#This Row],[SHEET_REF_OWNER]],""),IF(DB_TBL_DATA_FIELDS[[#This Row],[SHEET_REF_RENTAL]]&lt;&gt;"",DB_TBL_DATA_FIELDS[[#This Row],[SHEET_REF_RENTAL]],""))</f>
        <v>RentalApp</v>
      </c>
      <c r="D285" s="1" t="s">
        <v>3170</v>
      </c>
      <c r="E285" s="1" t="b">
        <v>1</v>
      </c>
      <c r="F285" s="112" t="b">
        <f ca="1">IF(OR(FULLCONTROL_UNITS="",FULLCONTROL_UNITS=0,SCATTERED_SITE_DOWNPAYMENT_FLAG=TRUE),FALSE,OR(BUILDINGPERMIT_UNITS="",BUILDINGPERMIT_UNITS&lt;FULLCONTROL_UNITS))</f>
        <v>0</v>
      </c>
      <c r="G285" s="2" t="s">
        <v>3173</v>
      </c>
      <c r="H285" s="10" t="str">
        <f ca="1">IFERROR(VLOOKUP(DB_TBL_DATA_FIELDS[[#This Row],[FIELD_ID]],INDIRECT(DB_TBL_DATA_FIELDS[[#This Row],[SHEET_REF_CALC]]&amp;"!A:B"),2,FALSE),"")</f>
        <v/>
      </c>
      <c r="I285" s="44" t="str">
        <f ca="1">IF(DB_TBL_DATA_FIELDS[[#This Row],[FIELD_EMPTY_FLAG]],"",IF(OR(FULLCONTROL_UNITS="",FULLCONTROL_UNITS&lt;1,SCATTERED_SITE_DOWNPAYMENT_FLAG=TRUE),FALSE,(READYLETTER_UNITS+IF(BUILDINGPERMIT_UNITS&lt;&gt;"",BUILDINGPERMIT_UNITS,0))&lt;=FULLCONTROL_UNITS))</f>
        <v/>
      </c>
      <c r="J285" s="2" t="b">
        <f ca="1">(DB_TBL_DATA_FIELDS[[#This Row],[FIELD_VALUE_RAW]]="")</f>
        <v>1</v>
      </c>
      <c r="K285" s="2" t="s">
        <v>62</v>
      </c>
      <c r="L285" s="7" t="b">
        <f ca="1">AND(IF(DB_TBL_DATA_FIELDS[[#This Row],[FIELD_VALID_CUSTOM_LOGIC]]="",TRUE,DB_TBL_DATA_FIELDS[[#This Row],[FIELD_VALID_CUSTOM_LOGIC]]),DB_TBL_DATA_FIELDS[[#This Row],[RANGE_VALIDATION_PASSED_FLAG]])</f>
        <v>0</v>
      </c>
      <c r="M285"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85" s="7">
        <f ca="1">IF(DB_TBL_DATA_FIELDS[[#This Row],[SHEET_REF_CALC]]="","",IF(DB_TBL_DATA_FIELDS[[#This Row],[FIELD_EMPTY_FLAG]],IF(NOT(DB_TBL_DATA_FIELDS[[#This Row],[FIELD_REQ_FLAG]]),-1,1),IF(NOT(DB_TBL_DATA_FIELDS[[#This Row],[FIELD_VALID_FLAG]]),0,2)))</f>
        <v>-1</v>
      </c>
      <c r="O285" s="7" t="str">
        <f ca="1">IFERROR(VLOOKUP(DB_TBL_DATA_FIELDS[[#This Row],[FIELD_STATUS_CODE]],DB_TBL_CONFIG_FIELDSTATUSCODES[#All],3,FALSE),"")</f>
        <v>Optional</v>
      </c>
      <c r="P285" s="7" t="str">
        <f ca="1">IFERROR(VLOOKUP(DB_TBL_DATA_FIELDS[[#This Row],[FIELD_STATUS_CODE]],DB_TBL_CONFIG_FIELDSTATUSCODES[#All],4,FALSE),"")</f>
        <v xml:space="preserve"> </v>
      </c>
      <c r="Q285" s="7" t="b">
        <f>TRUE</f>
        <v>1</v>
      </c>
      <c r="R285" s="7" t="b">
        <f>TRUE</f>
        <v>1</v>
      </c>
      <c r="S285" s="1" t="s">
        <v>62</v>
      </c>
      <c r="T285" s="7">
        <f ca="1">IF(DB_TBL_DATA_FIELDS[[#This Row],[RANGE_VALIDATION_FLAG]]="Text",LEN(DB_TBL_DATA_FIELDS[[#This Row],[FIELD_VALUE_RAW]]),IFERROR(VALUE(DB_TBL_DATA_FIELDS[[#This Row],[FIELD_VALUE_RAW]]),-1))</f>
        <v>-1</v>
      </c>
      <c r="U285" s="7">
        <v>0</v>
      </c>
      <c r="V285" s="8">
        <v>999999999999</v>
      </c>
      <c r="W285" s="7" t="b">
        <f ca="1">IF(NOT(DB_TBL_DATA_FIELDS[[#This Row],[RANGE_VALIDATION_ON_FLAG]]),TRUE,
AND(DB_TBL_DATA_FIELDS[[#This Row],[RANGE_VALUE_LEN]]&gt;=DB_TBL_DATA_FIELDS[[#This Row],[RANGE_VALIDATION_MIN]],DB_TBL_DATA_FIELDS[[#This Row],[RANGE_VALUE_LEN]]&lt;=DB_TBL_DATA_FIELDS[[#This Row],[RANGE_VALIDATION_MAX]]))</f>
        <v>0</v>
      </c>
      <c r="X285" s="7">
        <v>1</v>
      </c>
      <c r="Y285" s="7">
        <f ca="1">IF(DB_TBL_DATA_FIELDS[[#This Row],[PCT_CALC_SHOW_STATUS_CODE]]=1,
DB_TBL_DATA_FIELDS[[#This Row],[FIELD_STATUS_CODE]],
IF(AND(DB_TBL_DATA_FIELDS[[#This Row],[PCT_CALC_SHOW_STATUS_CODE]]=2,DB_TBL_DATA_FIELDS[[#This Row],[FIELD_STATUS_CODE]]=0),
DB_TBL_DATA_FIELDS[[#This Row],[FIELD_STATUS_CODE]],
"")
)</f>
        <v>-1</v>
      </c>
      <c r="Z285" s="101" t="str">
        <f ca="1">IF(DB_TBL_DATA_FIELDS[[#This Row],[FIELD_VALID_CUSTOM_LOGIC]]="","",IF(AND(NOT(DB_TBL_DATA_FIELDS[[#This Row],[FIELD_VALID_CUSTOM_LOGIC]]),SCATTERED_SITE_DOWNPAYMENT_FLAG&lt;&gt;TRUE,FULLCONTROL_UNITS&lt;&gt;"",FULLCONTROL_UNITS&gt;0),IF(BUILDINGPERMIT_UNITS&lt;&gt;"","Sum Exceeds Full Site Control Units","Exceeds Full Site Control Units"),""))</f>
        <v/>
      </c>
      <c r="AA285" s="10" t="s">
        <v>3204</v>
      </c>
      <c r="AB285" s="10" t="s">
        <v>3208</v>
      </c>
      <c r="AC285" s="7"/>
    </row>
    <row r="286" spans="1:29" x14ac:dyDescent="0.2">
      <c r="A286" s="4" t="s">
        <v>65</v>
      </c>
      <c r="B286" s="4" t="s">
        <v>64</v>
      </c>
      <c r="C286" s="8" t="str">
        <f ca="1">IF($H$10&lt;&gt;"R",IF(DB_TBL_DATA_FIELDS[[#This Row],[SHEET_REF_OWNER]]&lt;&gt;"",DB_TBL_DATA_FIELDS[[#This Row],[SHEET_REF_OWNER]],""),IF(DB_TBL_DATA_FIELDS[[#This Row],[SHEET_REF_RENTAL]]&lt;&gt;"",DB_TBL_DATA_FIELDS[[#This Row],[SHEET_REF_RENTAL]],""))</f>
        <v>RentalApp</v>
      </c>
      <c r="D286" s="1" t="s">
        <v>3171</v>
      </c>
      <c r="E286" s="1" t="b">
        <v>1</v>
      </c>
      <c r="F286" s="112" t="b">
        <f ca="1">IF(OR(FULLCONTROL_UNITS="",FULLCONTROL_UNITS=0,SCATTERED_SITE_DOWNPAYMENT_FLAG=TRUE),FALSE,AND(READYLETTER_UNITS&lt;&gt;"",READYLETTER_UNITS&gt;0))</f>
        <v>0</v>
      </c>
      <c r="G286" s="2" t="s">
        <v>3176</v>
      </c>
      <c r="H286" s="44" t="str">
        <f ca="1">IFERROR(TEXT(VLOOKUP(DB_TBL_DATA_FIELDS[[#This Row],[FIELD_ID]],INDIRECT(DB_TBL_DATA_FIELDS[[#This Row],[SHEET_REF_CALC]]&amp;"!A:B"),2,FALSE),"MM/DD/YYYY"),"")</f>
        <v/>
      </c>
      <c r="I286" s="44" t="str">
        <f ca="1">IF(DB_TBL_DATA_FIELDS[[#This Row],[FIELD_EMPTY_FLAG]],"",IF(OR(FULLCONTROL_UNITS="",FULLCONTROL_UNITS=0,SCATTERED_SITE_DOWNPAYMENT_FLAG=TRUE),FALSE,DB_TBL_DATA_FIELDS[[#This Row],[FIELD_REQ_FLAG]]))</f>
        <v/>
      </c>
      <c r="J286" s="2" t="b">
        <f ca="1">(DB_TBL_DATA_FIELDS[[#This Row],[FIELD_VALUE_RAW]]="")</f>
        <v>1</v>
      </c>
      <c r="K286" s="2" t="s">
        <v>38</v>
      </c>
      <c r="L286" s="7" t="b">
        <f ca="1">AND(IF(DB_TBL_DATA_FIELDS[[#This Row],[FIELD_VALID_CUSTOM_LOGIC]]="",TRUE,DB_TBL_DATA_FIELDS[[#This Row],[FIELD_VALID_CUSTOM_LOGIC]]),DB_TBL_DATA_FIELDS[[#This Row],[RANGE_VALIDATION_PASSED_FLAG]])</f>
        <v>1</v>
      </c>
      <c r="M286"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86" s="7">
        <f ca="1">IF(DB_TBL_DATA_FIELDS[[#This Row],[SHEET_REF_CALC]]="","",IF(DB_TBL_DATA_FIELDS[[#This Row],[FIELD_EMPTY_FLAG]],IF(NOT(DB_TBL_DATA_FIELDS[[#This Row],[FIELD_REQ_FLAG]]),-1,1),IF(NOT(DB_TBL_DATA_FIELDS[[#This Row],[FIELD_VALID_FLAG]]),0,2)))</f>
        <v>-1</v>
      </c>
      <c r="O286" s="7" t="str">
        <f ca="1">IFERROR(VLOOKUP(DB_TBL_DATA_FIELDS[[#This Row],[FIELD_STATUS_CODE]],DB_TBL_CONFIG_FIELDSTATUSCODES[#All],3,FALSE),"")</f>
        <v>Optional</v>
      </c>
      <c r="P286" s="7" t="str">
        <f ca="1">IFERROR(VLOOKUP(DB_TBL_DATA_FIELDS[[#This Row],[FIELD_STATUS_CODE]],DB_TBL_CONFIG_FIELDSTATUSCODES[#All],4,FALSE),"")</f>
        <v xml:space="preserve"> </v>
      </c>
      <c r="Q286" s="7" t="b">
        <f>TRUE</f>
        <v>1</v>
      </c>
      <c r="R286" s="7" t="b">
        <f>TRUE</f>
        <v>1</v>
      </c>
      <c r="S286" s="1" t="s">
        <v>11</v>
      </c>
      <c r="T286" s="7">
        <f ca="1">IF(DB_TBL_DATA_FIELDS[[#This Row],[RANGE_VALIDATION_FLAG]]="Text",LEN(DB_TBL_DATA_FIELDS[[#This Row],[FIELD_VALUE_RAW]]),IFERROR(VALUE(DB_TBL_DATA_FIELDS[[#This Row],[FIELD_VALUE_RAW]]),-1))</f>
        <v>0</v>
      </c>
      <c r="U286" s="7">
        <v>0</v>
      </c>
      <c r="V286" s="7">
        <v>32767</v>
      </c>
      <c r="W286" s="7" t="b">
        <f ca="1">IF(NOT(DB_TBL_DATA_FIELDS[[#This Row],[RANGE_VALIDATION_ON_FLAG]]),TRUE,
AND(DB_TBL_DATA_FIELDS[[#This Row],[RANGE_VALUE_LEN]]&gt;=DB_TBL_DATA_FIELDS[[#This Row],[RANGE_VALIDATION_MIN]],DB_TBL_DATA_FIELDS[[#This Row],[RANGE_VALUE_LEN]]&lt;=DB_TBL_DATA_FIELDS[[#This Row],[RANGE_VALIDATION_MAX]]))</f>
        <v>1</v>
      </c>
      <c r="X286" s="7">
        <v>1</v>
      </c>
      <c r="Y286" s="7">
        <f ca="1">IF(DB_TBL_DATA_FIELDS[[#This Row],[PCT_CALC_SHOW_STATUS_CODE]]=1,
DB_TBL_DATA_FIELDS[[#This Row],[FIELD_STATUS_CODE]],
IF(AND(DB_TBL_DATA_FIELDS[[#This Row],[PCT_CALC_SHOW_STATUS_CODE]]=2,DB_TBL_DATA_FIELDS[[#This Row],[FIELD_STATUS_CODE]]=0),
DB_TBL_DATA_FIELDS[[#This Row],[FIELD_STATUS_CODE]],
"")
)</f>
        <v>-1</v>
      </c>
      <c r="Z286" s="7"/>
      <c r="AA286" s="10" t="s">
        <v>3205</v>
      </c>
      <c r="AB286" s="10" t="s">
        <v>3208</v>
      </c>
      <c r="AC286" s="7"/>
    </row>
    <row r="287" spans="1:29" x14ac:dyDescent="0.2">
      <c r="A287" s="4" t="s">
        <v>65</v>
      </c>
      <c r="B287" s="4"/>
      <c r="C287" s="8" t="str">
        <f ca="1">IF($H$10&lt;&gt;"R",IF(DB_TBL_DATA_FIELDS[[#This Row],[SHEET_REF_OWNER]]&lt;&gt;"",DB_TBL_DATA_FIELDS[[#This Row],[SHEET_REF_OWNER]],""),IF(DB_TBL_DATA_FIELDS[[#This Row],[SHEET_REF_RENTAL]]&lt;&gt;"",DB_TBL_DATA_FIELDS[[#This Row],[SHEET_REF_RENTAL]],""))</f>
        <v/>
      </c>
      <c r="D287" s="89" t="s">
        <v>3122</v>
      </c>
      <c r="E287" s="4" t="b">
        <v>1</v>
      </c>
      <c r="F287" s="25" t="b">
        <v>1</v>
      </c>
      <c r="G287" s="6" t="s">
        <v>3177</v>
      </c>
      <c r="H287" s="11" t="str">
        <f ca="1">IFERROR(VLOOKUP(DB_TBL_DATA_FIELDS[[#This Row],[FIELD_ID]],INDIRECT(DB_TBL_DATA_FIELDS[[#This Row],[SHEET_REF_CALC]]&amp;"!A:B"),2,FALSE),"")</f>
        <v/>
      </c>
      <c r="I287" s="44" t="str">
        <f ca="1">IF(DB_TBL_DATA_FIELDS[[#This Row],[FIELD_EMPTY_FLAG]],"",DB_TBL_DATA_FIELDS[[#This Row],[FIELD_VALUE_RAW]]&lt;=DATA_TOTAL_UNITS)</f>
        <v/>
      </c>
      <c r="J287" s="6" t="b">
        <f ca="1">(DB_TBL_DATA_FIELDS[[#This Row],[FIELD_VALUE_RAW]]="")</f>
        <v>1</v>
      </c>
      <c r="K287" s="6" t="s">
        <v>62</v>
      </c>
      <c r="L287" s="8" t="b">
        <f ca="1">AND(IF(DB_TBL_DATA_FIELDS[[#This Row],[FIELD_VALID_CUSTOM_LOGIC]]="",TRUE,DB_TBL_DATA_FIELDS[[#This Row],[FIELD_VALID_CUSTOM_LOGIC]]),DB_TBL_DATA_FIELDS[[#This Row],[RANGE_VALIDATION_PASSED_FLAG]])</f>
        <v>0</v>
      </c>
      <c r="M287"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87" s="8" t="str">
        <f ca="1">IF(DB_TBL_DATA_FIELDS[[#This Row],[SHEET_REF_CALC]]="","",IF(DB_TBL_DATA_FIELDS[[#This Row],[FIELD_EMPTY_FLAG]],IF(NOT(DB_TBL_DATA_FIELDS[[#This Row],[FIELD_REQ_FLAG]]),-1,1),IF(NOT(DB_TBL_DATA_FIELDS[[#This Row],[FIELD_VALID_FLAG]]),0,2)))</f>
        <v/>
      </c>
      <c r="O287" s="8" t="str">
        <f ca="1">IFERROR(VLOOKUP(DB_TBL_DATA_FIELDS[[#This Row],[FIELD_STATUS_CODE]],DB_TBL_CONFIG_FIELDSTATUSCODES[#All],3,FALSE),"")</f>
        <v/>
      </c>
      <c r="P287" s="8" t="str">
        <f ca="1">IFERROR(VLOOKUP(DB_TBL_DATA_FIELDS[[#This Row],[FIELD_STATUS_CODE]],DB_TBL_CONFIG_FIELDSTATUSCODES[#All],4,FALSE),"")</f>
        <v/>
      </c>
      <c r="Q287" s="8" t="b">
        <f>TRUE</f>
        <v>1</v>
      </c>
      <c r="R287" s="8" t="b">
        <f>TRUE</f>
        <v>1</v>
      </c>
      <c r="S287" s="4" t="s">
        <v>62</v>
      </c>
      <c r="T287" s="8">
        <f ca="1">IF(DB_TBL_DATA_FIELDS[[#This Row],[RANGE_VALIDATION_FLAG]]="Text",LEN(DB_TBL_DATA_FIELDS[[#This Row],[FIELD_VALUE_RAW]]),IFERROR(VALUE(DB_TBL_DATA_FIELDS[[#This Row],[FIELD_VALUE_RAW]]),-1))</f>
        <v>-1</v>
      </c>
      <c r="U287" s="7">
        <v>0</v>
      </c>
      <c r="V287" s="8">
        <v>999999999999</v>
      </c>
      <c r="W287" s="8" t="b">
        <f ca="1">IF(NOT(DB_TBL_DATA_FIELDS[[#This Row],[RANGE_VALIDATION_ON_FLAG]]),TRUE,
AND(DB_TBL_DATA_FIELDS[[#This Row],[RANGE_VALUE_LEN]]&gt;=DB_TBL_DATA_FIELDS[[#This Row],[RANGE_VALIDATION_MIN]],DB_TBL_DATA_FIELDS[[#This Row],[RANGE_VALUE_LEN]]&lt;=DB_TBL_DATA_FIELDS[[#This Row],[RANGE_VALIDATION_MAX]]))</f>
        <v>0</v>
      </c>
      <c r="X287" s="8">
        <v>1</v>
      </c>
      <c r="Y287" s="8" t="str">
        <f ca="1">IF(DB_TBL_DATA_FIELDS[[#This Row],[PCT_CALC_SHOW_STATUS_CODE]]=1,
DB_TBL_DATA_FIELDS[[#This Row],[FIELD_STATUS_CODE]],
IF(AND(DB_TBL_DATA_FIELDS[[#This Row],[PCT_CALC_SHOW_STATUS_CODE]]=2,DB_TBL_DATA_FIELDS[[#This Row],[FIELD_STATUS_CODE]]=0),
DB_TBL_DATA_FIELDS[[#This Row],[FIELD_STATUS_CODE]],
"")
)</f>
        <v/>
      </c>
      <c r="Z287" s="101" t="str">
        <f ca="1">IF(DB_TBL_DATA_FIELDS[[#This Row],[FIELD_VALID_CUSTOM_LOGIC]]="","",IF(NOT(DB_TBL_DATA_FIELDS[[#This Row],[FIELD_VALID_CUSTOM_LOGIC]]),"Exceeds Total Project Units",""))</f>
        <v/>
      </c>
      <c r="AA287" s="10" t="s">
        <v>3206</v>
      </c>
      <c r="AB287" s="10" t="s">
        <v>3208</v>
      </c>
      <c r="AC287" s="8" t="s">
        <v>3326</v>
      </c>
    </row>
    <row r="288" spans="1:29" ht="13.5" thickBot="1" x14ac:dyDescent="0.25">
      <c r="A288" s="67" t="s">
        <v>65</v>
      </c>
      <c r="B288" s="67"/>
      <c r="C288" s="68" t="str">
        <f ca="1">IF($H$10&lt;&gt;"R",IF(DB_TBL_DATA_FIELDS[[#This Row],[SHEET_REF_OWNER]]&lt;&gt;"",DB_TBL_DATA_FIELDS[[#This Row],[SHEET_REF_OWNER]],""),IF(DB_TBL_DATA_FIELDS[[#This Row],[SHEET_REF_RENTAL]]&lt;&gt;"",DB_TBL_DATA_FIELDS[[#This Row],[SHEET_REF_RENTAL]],""))</f>
        <v/>
      </c>
      <c r="D288" s="89" t="s">
        <v>3121</v>
      </c>
      <c r="E288" s="67" t="b">
        <v>0</v>
      </c>
      <c r="F288" s="71" t="b">
        <v>0</v>
      </c>
      <c r="G288" s="72" t="s">
        <v>3178</v>
      </c>
      <c r="H288" s="76" t="str">
        <f ca="1">IF(J287,"",IF(H287=0,"None of the units",IF(H287=DATA_TOTAL_UNITS,"All units","Some of the units")))</f>
        <v/>
      </c>
      <c r="I288" s="76" t="str">
        <f ca="1">IF(DB_TBL_DATA_FIELDS[[#This Row],[FIELD_EMPTY_FLAG]],"",I287)</f>
        <v/>
      </c>
      <c r="J288" s="72" t="b">
        <f ca="1">(DB_TBL_DATA_FIELDS[[#This Row],[FIELD_VALUE_RAW]]="")</f>
        <v>1</v>
      </c>
      <c r="K288" s="72" t="s">
        <v>11</v>
      </c>
      <c r="L288" s="68" t="b">
        <f ca="1">AND(IF(DB_TBL_DATA_FIELDS[[#This Row],[FIELD_VALID_CUSTOM_LOGIC]]="",TRUE,DB_TBL_DATA_FIELDS[[#This Row],[FIELD_VALID_CUSTOM_LOGIC]]),DB_TBL_DATA_FIELDS[[#This Row],[RANGE_VALIDATION_PASSED_FLAG]])</f>
        <v>1</v>
      </c>
      <c r="M288" s="7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88" s="68" t="str">
        <f ca="1">IF(DB_TBL_DATA_FIELDS[[#This Row],[SHEET_REF_CALC]]="","",IF(DB_TBL_DATA_FIELDS[[#This Row],[FIELD_EMPTY_FLAG]],IF(NOT(DB_TBL_DATA_FIELDS[[#This Row],[FIELD_REQ_FLAG]]),-1,1),IF(NOT(DB_TBL_DATA_FIELDS[[#This Row],[FIELD_VALID_FLAG]]),0,2)))</f>
        <v/>
      </c>
      <c r="O288" s="68" t="str">
        <f ca="1">IFERROR(VLOOKUP(DB_TBL_DATA_FIELDS[[#This Row],[FIELD_STATUS_CODE]],DB_TBL_CONFIG_FIELDSTATUSCODES[#All],3,FALSE),"")</f>
        <v/>
      </c>
      <c r="P288" s="68" t="str">
        <f ca="1">IFERROR(VLOOKUP(DB_TBL_DATA_FIELDS[[#This Row],[FIELD_STATUS_CODE]],DB_TBL_CONFIG_FIELDSTATUSCODES[#All],4,FALSE),"")</f>
        <v/>
      </c>
      <c r="Q288" s="68" t="b">
        <f>TRUE</f>
        <v>1</v>
      </c>
      <c r="R288" s="68" t="b">
        <f>TRUE</f>
        <v>1</v>
      </c>
      <c r="S288" s="67" t="s">
        <v>11</v>
      </c>
      <c r="T288" s="68">
        <f ca="1">IF(DB_TBL_DATA_FIELDS[[#This Row],[RANGE_VALIDATION_FLAG]]="Text",LEN(DB_TBL_DATA_FIELDS[[#This Row],[FIELD_VALUE_RAW]]),IFERROR(VALUE(DB_TBL_DATA_FIELDS[[#This Row],[FIELD_VALUE_RAW]]),-1))</f>
        <v>0</v>
      </c>
      <c r="U288" s="68">
        <v>0</v>
      </c>
      <c r="V288" s="68">
        <v>32767</v>
      </c>
      <c r="W288" s="68" t="b">
        <f ca="1">IF(NOT(DB_TBL_DATA_FIELDS[[#This Row],[RANGE_VALIDATION_ON_FLAG]]),TRUE,
AND(DB_TBL_DATA_FIELDS[[#This Row],[RANGE_VALUE_LEN]]&gt;=DB_TBL_DATA_FIELDS[[#This Row],[RANGE_VALIDATION_MIN]],DB_TBL_DATA_FIELDS[[#This Row],[RANGE_VALUE_LEN]]&lt;=DB_TBL_DATA_FIELDS[[#This Row],[RANGE_VALIDATION_MAX]]))</f>
        <v>1</v>
      </c>
      <c r="X288" s="68">
        <v>0</v>
      </c>
      <c r="Y288" s="68" t="str">
        <f ca="1">IF(DB_TBL_DATA_FIELDS[[#This Row],[PCT_CALC_SHOW_STATUS_CODE]]=1,
DB_TBL_DATA_FIELDS[[#This Row],[FIELD_STATUS_CODE]],
IF(AND(DB_TBL_DATA_FIELDS[[#This Row],[PCT_CALC_SHOW_STATUS_CODE]]=2,DB_TBL_DATA_FIELDS[[#This Row],[FIELD_STATUS_CODE]]=0),
DB_TBL_DATA_FIELDS[[#This Row],[FIELD_STATUS_CODE]],
"")
)</f>
        <v/>
      </c>
      <c r="Z288" s="68"/>
      <c r="AA288" s="73" t="s">
        <v>3207</v>
      </c>
      <c r="AB288" s="73" t="s">
        <v>3208</v>
      </c>
      <c r="AC288" s="68" t="s">
        <v>3327</v>
      </c>
    </row>
    <row r="289" spans="1:29" x14ac:dyDescent="0.2">
      <c r="A289" s="4" t="s">
        <v>65</v>
      </c>
      <c r="B289" s="4" t="s">
        <v>64</v>
      </c>
      <c r="C289" s="8" t="str">
        <f ca="1">IF($H$10&lt;&gt;"R",IF(DB_TBL_DATA_FIELDS[[#This Row],[SHEET_REF_OWNER]]&lt;&gt;"",DB_TBL_DATA_FIELDS[[#This Row],[SHEET_REF_OWNER]],""),IF(DB_TBL_DATA_FIELDS[[#This Row],[SHEET_REF_RENTAL]]&lt;&gt;"",DB_TBL_DATA_FIELDS[[#This Row],[SHEET_REF_RENTAL]],""))</f>
        <v>RentalApp</v>
      </c>
      <c r="D289" s="4" t="s">
        <v>3264</v>
      </c>
      <c r="E289" s="4" t="b">
        <v>0</v>
      </c>
      <c r="F289" s="25" t="b">
        <v>1</v>
      </c>
      <c r="G289" s="6" t="s">
        <v>3270</v>
      </c>
      <c r="H289" s="33" t="str">
        <f ca="1">IFERROR(IF(VLOOKUP(DB_TBL_DATA_FIELDS[[#This Row],[FIELD_ID]],INDIRECT(DB_TBL_DATA_FIELDS[[#This Row],[SHEET_REF_CALC]]&amp;"!A:B"),2,FALSE)&lt;1,"",VLOOKUP(DB_TBL_DATA_FIELDS[[#This Row],[FIELD_ID]],INDIRECT(DB_TBL_DATA_FIELDS[[#This Row],[SHEET_REF_CALC]]&amp;"!A:B"),2,FALSE)),"")</f>
        <v/>
      </c>
      <c r="I289" s="29" t="str">
        <f ca="1">IF(I290&lt;&gt;"",I290,"")</f>
        <v/>
      </c>
      <c r="J289" s="6" t="b">
        <f ca="1">(DB_TBL_DATA_FIELDS[[#This Row],[FIELD_VALUE_RAW]]="")</f>
        <v>1</v>
      </c>
      <c r="K289" s="6" t="s">
        <v>62</v>
      </c>
      <c r="L289" s="8" t="b">
        <f ca="1">AND(IF(DB_TBL_DATA_FIELDS[[#This Row],[FIELD_VALID_CUSTOM_LOGIC]]="",TRUE,DB_TBL_DATA_FIELDS[[#This Row],[FIELD_VALID_CUSTOM_LOGIC]]),DB_TBL_DATA_FIELDS[[#This Row],[RANGE_VALIDATION_PASSED_FLAG]])</f>
        <v>1</v>
      </c>
      <c r="M289"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89" s="8">
        <f ca="1">IF(DB_TBL_DATA_FIELDS[[#This Row],[SHEET_REF_CALC]]="","",IF(DB_TBL_DATA_FIELDS[[#This Row],[FIELD_EMPTY_FLAG]],IF(NOT(DB_TBL_DATA_FIELDS[[#This Row],[FIELD_REQ_FLAG]]),-1,1),IF(NOT(DB_TBL_DATA_FIELDS[[#This Row],[FIELD_VALID_FLAG]]),0,2)))</f>
        <v>1</v>
      </c>
      <c r="O289" s="8" t="str">
        <f ca="1">IFERROR(VLOOKUP(DB_TBL_DATA_FIELDS[[#This Row],[FIELD_STATUS_CODE]],DB_TBL_CONFIG_FIELDSTATUSCODES[#All],3,FALSE),"")</f>
        <v>Required</v>
      </c>
      <c r="P289" s="8" t="str">
        <f ca="1">IFERROR(VLOOKUP(DB_TBL_DATA_FIELDS[[#This Row],[FIELD_STATUS_CODE]],DB_TBL_CONFIG_FIELDSTATUSCODES[#All],4,FALSE),"")</f>
        <v>i</v>
      </c>
      <c r="Q289" s="8" t="b">
        <f>TRUE</f>
        <v>1</v>
      </c>
      <c r="R289" s="8" t="b">
        <v>0</v>
      </c>
      <c r="S289" s="4"/>
      <c r="T289" s="8">
        <f ca="1">IF(DB_TBL_DATA_FIELDS[[#This Row],[RANGE_VALIDATION_FLAG]]="Text",LEN(DB_TBL_DATA_FIELDS[[#This Row],[FIELD_VALUE_RAW]]),IFERROR(VALUE(DB_TBL_DATA_FIELDS[[#This Row],[FIELD_VALUE_RAW]]),-1))</f>
        <v>-1</v>
      </c>
      <c r="U289" s="7">
        <v>0</v>
      </c>
      <c r="V289" s="8">
        <v>999999999999</v>
      </c>
      <c r="W289" s="8" t="b">
        <f>IF(NOT(DB_TBL_DATA_FIELDS[[#This Row],[RANGE_VALIDATION_ON_FLAG]]),TRUE,
AND(DB_TBL_DATA_FIELDS[[#This Row],[RANGE_VALUE_LEN]]&gt;=DB_TBL_DATA_FIELDS[[#This Row],[RANGE_VALIDATION_MIN]],DB_TBL_DATA_FIELDS[[#This Row],[RANGE_VALUE_LEN]]&lt;=DB_TBL_DATA_FIELDS[[#This Row],[RANGE_VALIDATION_MAX]]))</f>
        <v>1</v>
      </c>
      <c r="X289" s="8">
        <v>1</v>
      </c>
      <c r="Y289" s="8">
        <f ca="1">IF(DB_TBL_DATA_FIELDS[[#This Row],[PCT_CALC_SHOW_STATUS_CODE]]=1,
DB_TBL_DATA_FIELDS[[#This Row],[FIELD_STATUS_CODE]],
IF(AND(DB_TBL_DATA_FIELDS[[#This Row],[PCT_CALC_SHOW_STATUS_CODE]]=2,DB_TBL_DATA_FIELDS[[#This Row],[FIELD_STATUS_CODE]]=0),
DB_TBL_DATA_FIELDS[[#This Row],[FIELD_STATUS_CODE]],
"")
)</f>
        <v>1</v>
      </c>
      <c r="Z289" s="8"/>
      <c r="AA289" s="11" t="s">
        <v>3265</v>
      </c>
      <c r="AB289" s="10" t="s">
        <v>3266</v>
      </c>
      <c r="AC289" s="8" t="s">
        <v>3267</v>
      </c>
    </row>
    <row r="290" spans="1:29" x14ac:dyDescent="0.2">
      <c r="A290" s="4" t="s">
        <v>65</v>
      </c>
      <c r="B290" s="4" t="s">
        <v>64</v>
      </c>
      <c r="C290" s="8" t="str">
        <f ca="1">IF($H$10&lt;&gt;"R",IF(DB_TBL_DATA_FIELDS[[#This Row],[SHEET_REF_OWNER]]&lt;&gt;"",DB_TBL_DATA_FIELDS[[#This Row],[SHEET_REF_OWNER]],""),IF(DB_TBL_DATA_FIELDS[[#This Row],[SHEET_REF_RENTAL]]&lt;&gt;"",DB_TBL_DATA_FIELDS[[#This Row],[SHEET_REF_RENTAL]],""))</f>
        <v>RentalApp</v>
      </c>
      <c r="D290" s="4" t="s">
        <v>3268</v>
      </c>
      <c r="E290" s="4" t="b">
        <v>1</v>
      </c>
      <c r="F290" s="25" t="b">
        <v>0</v>
      </c>
      <c r="G290" s="6" t="s">
        <v>3269</v>
      </c>
      <c r="H290" s="29" t="str">
        <f ca="1">IF(H289&lt;&gt;"",IFERROR(INDEX(INDIRECT(DB_TBL_DATA_FIELDS[[#This Row],[FIELD_ID]]),MATCH(H289,LOOKUP_COMMSTABILITY_CODES,0)),"{INVALID}"),"")</f>
        <v/>
      </c>
      <c r="I290" s="29" t="str">
        <f ca="1">IF(DB_TBL_DATA_FIELDS[[#This Row],[FIELD_EMPTY_FLAG]],"",DB_TBL_DATA_FIELDS[[#This Row],[FIELD_VALUE_RAW]]&lt;&gt;"{INVALID}")</f>
        <v/>
      </c>
      <c r="J290" s="6" t="b">
        <f ca="1">(DB_TBL_DATA_FIELDS[[#This Row],[FIELD_VALUE_RAW]]="")</f>
        <v>1</v>
      </c>
      <c r="K290" s="6" t="s">
        <v>11</v>
      </c>
      <c r="L290" s="8" t="b">
        <f ca="1">AND(IF(DB_TBL_DATA_FIELDS[[#This Row],[FIELD_VALID_CUSTOM_LOGIC]]="",TRUE,DB_TBL_DATA_FIELDS[[#This Row],[FIELD_VALID_CUSTOM_LOGIC]]),DB_TBL_DATA_FIELDS[[#This Row],[RANGE_VALIDATION_PASSED_FLAG]])</f>
        <v>1</v>
      </c>
      <c r="M290"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90" s="8">
        <f ca="1">IF(DB_TBL_DATA_FIELDS[[#This Row],[SHEET_REF_CALC]]="","",IF(DB_TBL_DATA_FIELDS[[#This Row],[FIELD_EMPTY_FLAG]],IF(NOT(DB_TBL_DATA_FIELDS[[#This Row],[FIELD_REQ_FLAG]]),-1,1),IF(NOT(DB_TBL_DATA_FIELDS[[#This Row],[FIELD_VALID_FLAG]]),0,2)))</f>
        <v>-1</v>
      </c>
      <c r="O290" s="8" t="str">
        <f ca="1">IFERROR(VLOOKUP(DB_TBL_DATA_FIELDS[[#This Row],[FIELD_STATUS_CODE]],DB_TBL_CONFIG_FIELDSTATUSCODES[#All],3,FALSE),"")</f>
        <v>Optional</v>
      </c>
      <c r="P290" s="8" t="str">
        <f ca="1">IFERROR(VLOOKUP(DB_TBL_DATA_FIELDS[[#This Row],[FIELD_STATUS_CODE]],DB_TBL_CONFIG_FIELDSTATUSCODES[#All],4,FALSE),"")</f>
        <v xml:space="preserve"> </v>
      </c>
      <c r="Q290" s="8" t="b">
        <f>TRUE</f>
        <v>1</v>
      </c>
      <c r="R290" s="8" t="b">
        <v>0</v>
      </c>
      <c r="S290" s="4"/>
      <c r="T290" s="8">
        <f ca="1">IF(DB_TBL_DATA_FIELDS[[#This Row],[RANGE_VALIDATION_FLAG]]="Text",LEN(DB_TBL_DATA_FIELDS[[#This Row],[FIELD_VALUE_RAW]]),IFERROR(VALUE(DB_TBL_DATA_FIELDS[[#This Row],[FIELD_VALUE_RAW]]),-1))</f>
        <v>-1</v>
      </c>
      <c r="U290" s="7">
        <v>0</v>
      </c>
      <c r="V290" s="7">
        <v>32767</v>
      </c>
      <c r="W290" s="8" t="b">
        <f>IF(NOT(DB_TBL_DATA_FIELDS[[#This Row],[RANGE_VALIDATION_ON_FLAG]]),TRUE,
AND(DB_TBL_DATA_FIELDS[[#This Row],[RANGE_VALUE_LEN]]&gt;=DB_TBL_DATA_FIELDS[[#This Row],[RANGE_VALIDATION_MIN]],DB_TBL_DATA_FIELDS[[#This Row],[RANGE_VALUE_LEN]]&lt;=DB_TBL_DATA_FIELDS[[#This Row],[RANGE_VALIDATION_MAX]]))</f>
        <v>1</v>
      </c>
      <c r="X290" s="8">
        <v>0</v>
      </c>
      <c r="Y290" s="8" t="str">
        <f ca="1">IF(DB_TBL_DATA_FIELDS[[#This Row],[PCT_CALC_SHOW_STATUS_CODE]]=1,
DB_TBL_DATA_FIELDS[[#This Row],[FIELD_STATUS_CODE]],
IF(AND(DB_TBL_DATA_FIELDS[[#This Row],[PCT_CALC_SHOW_STATUS_CODE]]=2,DB_TBL_DATA_FIELDS[[#This Row],[FIELD_STATUS_CODE]]=0),
DB_TBL_DATA_FIELDS[[#This Row],[FIELD_STATUS_CODE]],
"")
)</f>
        <v/>
      </c>
      <c r="Z290" s="8"/>
      <c r="AA290" s="11" t="s">
        <v>3265</v>
      </c>
      <c r="AB290" s="10" t="s">
        <v>3266</v>
      </c>
      <c r="AC290" s="8" t="s">
        <v>3271</v>
      </c>
    </row>
    <row r="291" spans="1:29" x14ac:dyDescent="0.2">
      <c r="A291" s="4" t="s">
        <v>65</v>
      </c>
      <c r="B291" s="4" t="s">
        <v>64</v>
      </c>
      <c r="C291" s="8" t="str">
        <f ca="1">IF($H$10&lt;&gt;"R",IF(DB_TBL_DATA_FIELDS[[#This Row],[SHEET_REF_OWNER]]&lt;&gt;"",DB_TBL_DATA_FIELDS[[#This Row],[SHEET_REF_OWNER]],""),IF(DB_TBL_DATA_FIELDS[[#This Row],[SHEET_REF_RENTAL]]&lt;&gt;"",DB_TBL_DATA_FIELDS[[#This Row],[SHEET_REF_RENTAL]],""))</f>
        <v>RentalApp</v>
      </c>
      <c r="D291" s="370" t="s">
        <v>3272</v>
      </c>
      <c r="E291" s="4" t="b">
        <v>0</v>
      </c>
      <c r="F291" s="117" t="b">
        <v>0</v>
      </c>
      <c r="G291" s="116" t="s">
        <v>3274</v>
      </c>
      <c r="H291" s="120"/>
      <c r="I291" s="29" t="str">
        <f>IF(I292&lt;&gt;"",I292,"")</f>
        <v/>
      </c>
      <c r="J291" s="6" t="b">
        <f>(DB_TBL_DATA_FIELDS[[#This Row],[FIELD_VALUE_RAW]]="")</f>
        <v>1</v>
      </c>
      <c r="K291" s="6" t="s">
        <v>62</v>
      </c>
      <c r="L291" s="8" t="b">
        <f>AND(IF(DB_TBL_DATA_FIELDS[[#This Row],[FIELD_VALID_CUSTOM_LOGIC]]="",TRUE,DB_TBL_DATA_FIELDS[[#This Row],[FIELD_VALID_CUSTOM_LOGIC]]),DB_TBL_DATA_FIELDS[[#This Row],[RANGE_VALIDATION_PASSED_FLAG]])</f>
        <v>1</v>
      </c>
      <c r="M291" s="11"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91" s="8">
        <f ca="1">IF(DB_TBL_DATA_FIELDS[[#This Row],[SHEET_REF_CALC]]="","",IF(DB_TBL_DATA_FIELDS[[#This Row],[FIELD_EMPTY_FLAG]],IF(NOT(DB_TBL_DATA_FIELDS[[#This Row],[FIELD_REQ_FLAG]]),-1,1),IF(NOT(DB_TBL_DATA_FIELDS[[#This Row],[FIELD_VALID_FLAG]]),0,2)))</f>
        <v>-1</v>
      </c>
      <c r="O291" s="8" t="str">
        <f ca="1">IFERROR(VLOOKUP(DB_TBL_DATA_FIELDS[[#This Row],[FIELD_STATUS_CODE]],DB_TBL_CONFIG_FIELDSTATUSCODES[#All],3,FALSE),"")</f>
        <v>Optional</v>
      </c>
      <c r="P291" s="8" t="str">
        <f ca="1">IFERROR(VLOOKUP(DB_TBL_DATA_FIELDS[[#This Row],[FIELD_STATUS_CODE]],DB_TBL_CONFIG_FIELDSTATUSCODES[#All],4,FALSE),"")</f>
        <v xml:space="preserve"> </v>
      </c>
      <c r="Q291" s="8" t="b">
        <f>TRUE</f>
        <v>1</v>
      </c>
      <c r="R291" s="8" t="b">
        <v>0</v>
      </c>
      <c r="S291" s="4"/>
      <c r="T291" s="8">
        <f>IF(DB_TBL_DATA_FIELDS[[#This Row],[RANGE_VALIDATION_FLAG]]="Text",LEN(DB_TBL_DATA_FIELDS[[#This Row],[FIELD_VALUE_RAW]]),IFERROR(VALUE(DB_TBL_DATA_FIELDS[[#This Row],[FIELD_VALUE_RAW]]),-1))</f>
        <v>0</v>
      </c>
      <c r="U291" s="7">
        <v>0</v>
      </c>
      <c r="V291" s="8">
        <v>999999999999</v>
      </c>
      <c r="W291" s="8" t="b">
        <f>IF(NOT(DB_TBL_DATA_FIELDS[[#This Row],[RANGE_VALIDATION_ON_FLAG]]),TRUE,
AND(DB_TBL_DATA_FIELDS[[#This Row],[RANGE_VALUE_LEN]]&gt;=DB_TBL_DATA_FIELDS[[#This Row],[RANGE_VALIDATION_MIN]],DB_TBL_DATA_FIELDS[[#This Row],[RANGE_VALUE_LEN]]&lt;=DB_TBL_DATA_FIELDS[[#This Row],[RANGE_VALIDATION_MAX]]))</f>
        <v>1</v>
      </c>
      <c r="X291" s="8">
        <v>1</v>
      </c>
      <c r="Y291" s="8">
        <f ca="1">IF(DB_TBL_DATA_FIELDS[[#This Row],[PCT_CALC_SHOW_STATUS_CODE]]=1,
DB_TBL_DATA_FIELDS[[#This Row],[FIELD_STATUS_CODE]],
IF(AND(DB_TBL_DATA_FIELDS[[#This Row],[PCT_CALC_SHOW_STATUS_CODE]]=2,DB_TBL_DATA_FIELDS[[#This Row],[FIELD_STATUS_CODE]]=0),
DB_TBL_DATA_FIELDS[[#This Row],[FIELD_STATUS_CODE]],
"")
)</f>
        <v>-1</v>
      </c>
      <c r="Z291" s="8"/>
      <c r="AA291" s="11" t="s">
        <v>3276</v>
      </c>
      <c r="AB291" s="10" t="s">
        <v>3266</v>
      </c>
      <c r="AC291" s="8" t="s">
        <v>3267</v>
      </c>
    </row>
    <row r="292" spans="1:29" x14ac:dyDescent="0.2">
      <c r="A292" s="4" t="s">
        <v>65</v>
      </c>
      <c r="B292" s="4" t="s">
        <v>64</v>
      </c>
      <c r="C292" s="8" t="str">
        <f ca="1">IF($H$10&lt;&gt;"R",IF(DB_TBL_DATA_FIELDS[[#This Row],[SHEET_REF_OWNER]]&lt;&gt;"",DB_TBL_DATA_FIELDS[[#This Row],[SHEET_REF_OWNER]],""),IF(DB_TBL_DATA_FIELDS[[#This Row],[SHEET_REF_RENTAL]]&lt;&gt;"",DB_TBL_DATA_FIELDS[[#This Row],[SHEET_REF_RENTAL]],""))</f>
        <v>RentalApp</v>
      </c>
      <c r="D292" s="370" t="s">
        <v>3273</v>
      </c>
      <c r="E292" s="4" t="b">
        <v>1</v>
      </c>
      <c r="F292" s="117" t="b">
        <v>0</v>
      </c>
      <c r="G292" s="116" t="s">
        <v>3275</v>
      </c>
      <c r="H292" s="120"/>
      <c r="I292" s="29" t="str">
        <f>IF(DB_TBL_DATA_FIELDS[[#This Row],[FIELD_EMPTY_FLAG]],"",DB_TBL_DATA_FIELDS[[#This Row],[FIELD_VALUE_RAW]]&lt;&gt;"{INVALID}")</f>
        <v/>
      </c>
      <c r="J292" s="6" t="b">
        <f>(DB_TBL_DATA_FIELDS[[#This Row],[FIELD_VALUE_RAW]]="")</f>
        <v>1</v>
      </c>
      <c r="K292" s="6" t="s">
        <v>11</v>
      </c>
      <c r="L292" s="8" t="b">
        <f>AND(IF(DB_TBL_DATA_FIELDS[[#This Row],[FIELD_VALID_CUSTOM_LOGIC]]="",TRUE,DB_TBL_DATA_FIELDS[[#This Row],[FIELD_VALID_CUSTOM_LOGIC]]),DB_TBL_DATA_FIELDS[[#This Row],[RANGE_VALIDATION_PASSED_FLAG]])</f>
        <v>1</v>
      </c>
      <c r="M292" s="11"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92" s="8">
        <f ca="1">IF(DB_TBL_DATA_FIELDS[[#This Row],[SHEET_REF_CALC]]="","",IF(DB_TBL_DATA_FIELDS[[#This Row],[FIELD_EMPTY_FLAG]],IF(NOT(DB_TBL_DATA_FIELDS[[#This Row],[FIELD_REQ_FLAG]]),-1,1),IF(NOT(DB_TBL_DATA_FIELDS[[#This Row],[FIELD_VALID_FLAG]]),0,2)))</f>
        <v>-1</v>
      </c>
      <c r="O292" s="8" t="str">
        <f ca="1">IFERROR(VLOOKUP(DB_TBL_DATA_FIELDS[[#This Row],[FIELD_STATUS_CODE]],DB_TBL_CONFIG_FIELDSTATUSCODES[#All],3,FALSE),"")</f>
        <v>Optional</v>
      </c>
      <c r="P292" s="8" t="str">
        <f ca="1">IFERROR(VLOOKUP(DB_TBL_DATA_FIELDS[[#This Row],[FIELD_STATUS_CODE]],DB_TBL_CONFIG_FIELDSTATUSCODES[#All],4,FALSE),"")</f>
        <v xml:space="preserve"> </v>
      </c>
      <c r="Q292" s="8" t="b">
        <f>TRUE</f>
        <v>1</v>
      </c>
      <c r="R292" s="8" t="b">
        <v>0</v>
      </c>
      <c r="S292" s="4"/>
      <c r="T292" s="8">
        <f>IF(DB_TBL_DATA_FIELDS[[#This Row],[RANGE_VALIDATION_FLAG]]="Text",LEN(DB_TBL_DATA_FIELDS[[#This Row],[FIELD_VALUE_RAW]]),IFERROR(VALUE(DB_TBL_DATA_FIELDS[[#This Row],[FIELD_VALUE_RAW]]),-1))</f>
        <v>0</v>
      </c>
      <c r="U292" s="7">
        <v>0</v>
      </c>
      <c r="V292" s="7">
        <v>32767</v>
      </c>
      <c r="W292" s="8" t="b">
        <f>IF(NOT(DB_TBL_DATA_FIELDS[[#This Row],[RANGE_VALIDATION_ON_FLAG]]),TRUE,
AND(DB_TBL_DATA_FIELDS[[#This Row],[RANGE_VALUE_LEN]]&gt;=DB_TBL_DATA_FIELDS[[#This Row],[RANGE_VALIDATION_MIN]],DB_TBL_DATA_FIELDS[[#This Row],[RANGE_VALUE_LEN]]&lt;=DB_TBL_DATA_FIELDS[[#This Row],[RANGE_VALIDATION_MAX]]))</f>
        <v>1</v>
      </c>
      <c r="X292" s="8">
        <v>0</v>
      </c>
      <c r="Y292" s="8" t="str">
        <f ca="1">IF(DB_TBL_DATA_FIELDS[[#This Row],[PCT_CALC_SHOW_STATUS_CODE]]=1,
DB_TBL_DATA_FIELDS[[#This Row],[FIELD_STATUS_CODE]],
IF(AND(DB_TBL_DATA_FIELDS[[#This Row],[PCT_CALC_SHOW_STATUS_CODE]]=2,DB_TBL_DATA_FIELDS[[#This Row],[FIELD_STATUS_CODE]]=0),
DB_TBL_DATA_FIELDS[[#This Row],[FIELD_STATUS_CODE]],
"")
)</f>
        <v/>
      </c>
      <c r="Z292" s="8"/>
      <c r="AA292" s="11" t="s">
        <v>3276</v>
      </c>
      <c r="AB292" s="10" t="s">
        <v>3266</v>
      </c>
      <c r="AC292" s="8" t="s">
        <v>3271</v>
      </c>
    </row>
    <row r="293" spans="1:29" x14ac:dyDescent="0.2">
      <c r="A293" s="4" t="s">
        <v>65</v>
      </c>
      <c r="B293" s="4" t="s">
        <v>64</v>
      </c>
      <c r="C293" s="8" t="str">
        <f ca="1">IF($H$10&lt;&gt;"R",IF(DB_TBL_DATA_FIELDS[[#This Row],[SHEET_REF_OWNER]]&lt;&gt;"",DB_TBL_DATA_FIELDS[[#This Row],[SHEET_REF_OWNER]],""),IF(DB_TBL_DATA_FIELDS[[#This Row],[SHEET_REF_RENTAL]]&lt;&gt;"",DB_TBL_DATA_FIELDS[[#This Row],[SHEET_REF_RENTAL]],""))</f>
        <v>RentalApp</v>
      </c>
      <c r="D293" s="4" t="s">
        <v>3283</v>
      </c>
      <c r="E293" s="4" t="b">
        <v>0</v>
      </c>
      <c r="F293" s="25" t="b">
        <v>1</v>
      </c>
      <c r="G293" s="6" t="s">
        <v>3286</v>
      </c>
      <c r="H293" s="33" t="str">
        <f ca="1">IFERROR(IF(VLOOKUP(DB_TBL_DATA_FIELDS[[#This Row],[FIELD_ID]],INDIRECT(DB_TBL_DATA_FIELDS[[#This Row],[SHEET_REF_CALC]]&amp;"!A:B"),2,FALSE)&lt;1,"",VLOOKUP(DB_TBL_DATA_FIELDS[[#This Row],[FIELD_ID]],INDIRECT(DB_TBL_DATA_FIELDS[[#This Row],[SHEET_REF_CALC]]&amp;"!A:B"),2,FALSE)),"")</f>
        <v/>
      </c>
      <c r="I293" s="29" t="str">
        <f ca="1">IF(I294&lt;&gt;"",I294,"")</f>
        <v/>
      </c>
      <c r="J293" s="6" t="b">
        <f ca="1">(DB_TBL_DATA_FIELDS[[#This Row],[FIELD_VALUE_RAW]]="")</f>
        <v>1</v>
      </c>
      <c r="K293" s="6" t="s">
        <v>62</v>
      </c>
      <c r="L293" s="8" t="b">
        <f ca="1">AND(IF(DB_TBL_DATA_FIELDS[[#This Row],[FIELD_VALID_CUSTOM_LOGIC]]="",TRUE,DB_TBL_DATA_FIELDS[[#This Row],[FIELD_VALID_CUSTOM_LOGIC]]),DB_TBL_DATA_FIELDS[[#This Row],[RANGE_VALIDATION_PASSED_FLAG]])</f>
        <v>1</v>
      </c>
      <c r="M293"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93" s="8">
        <f ca="1">IF(DB_TBL_DATA_FIELDS[[#This Row],[SHEET_REF_CALC]]="","",IF(DB_TBL_DATA_FIELDS[[#This Row],[FIELD_EMPTY_FLAG]],IF(NOT(DB_TBL_DATA_FIELDS[[#This Row],[FIELD_REQ_FLAG]]),-1,1),IF(NOT(DB_TBL_DATA_FIELDS[[#This Row],[FIELD_VALID_FLAG]]),0,2)))</f>
        <v>1</v>
      </c>
      <c r="O293" s="8" t="str">
        <f ca="1">IFERROR(VLOOKUP(DB_TBL_DATA_FIELDS[[#This Row],[FIELD_STATUS_CODE]],DB_TBL_CONFIG_FIELDSTATUSCODES[#All],3,FALSE),"")</f>
        <v>Required</v>
      </c>
      <c r="P293" s="8" t="str">
        <f ca="1">IFERROR(VLOOKUP(DB_TBL_DATA_FIELDS[[#This Row],[FIELD_STATUS_CODE]],DB_TBL_CONFIG_FIELDSTATUSCODES[#All],4,FALSE),"")</f>
        <v>i</v>
      </c>
      <c r="Q293" s="8" t="b">
        <f>TRUE</f>
        <v>1</v>
      </c>
      <c r="R293" s="8" t="b">
        <v>0</v>
      </c>
      <c r="S293" s="4"/>
      <c r="T293" s="8">
        <f ca="1">IF(DB_TBL_DATA_FIELDS[[#This Row],[RANGE_VALIDATION_FLAG]]="Text",LEN(DB_TBL_DATA_FIELDS[[#This Row],[FIELD_VALUE_RAW]]),IFERROR(VALUE(DB_TBL_DATA_FIELDS[[#This Row],[FIELD_VALUE_RAW]]),-1))</f>
        <v>-1</v>
      </c>
      <c r="U293" s="7">
        <v>0</v>
      </c>
      <c r="V293" s="8">
        <v>999999999999</v>
      </c>
      <c r="W293" s="8" t="b">
        <f>IF(NOT(DB_TBL_DATA_FIELDS[[#This Row],[RANGE_VALIDATION_ON_FLAG]]),TRUE,
AND(DB_TBL_DATA_FIELDS[[#This Row],[RANGE_VALUE_LEN]]&gt;=DB_TBL_DATA_FIELDS[[#This Row],[RANGE_VALIDATION_MIN]],DB_TBL_DATA_FIELDS[[#This Row],[RANGE_VALUE_LEN]]&lt;=DB_TBL_DATA_FIELDS[[#This Row],[RANGE_VALIDATION_MAX]]))</f>
        <v>1</v>
      </c>
      <c r="X293" s="8">
        <v>1</v>
      </c>
      <c r="Y293" s="8">
        <f ca="1">IF(DB_TBL_DATA_FIELDS[[#This Row],[PCT_CALC_SHOW_STATUS_CODE]]=1,
DB_TBL_DATA_FIELDS[[#This Row],[FIELD_STATUS_CODE]],
IF(AND(DB_TBL_DATA_FIELDS[[#This Row],[PCT_CALC_SHOW_STATUS_CODE]]=2,DB_TBL_DATA_FIELDS[[#This Row],[FIELD_STATUS_CODE]]=0),
DB_TBL_DATA_FIELDS[[#This Row],[FIELD_STATUS_CODE]],
"")
)</f>
        <v>1</v>
      </c>
      <c r="Z293" s="8"/>
      <c r="AA293" s="11" t="s">
        <v>3280</v>
      </c>
      <c r="AB293" s="10" t="s">
        <v>3266</v>
      </c>
      <c r="AC293" s="8" t="s">
        <v>3267</v>
      </c>
    </row>
    <row r="294" spans="1:29" x14ac:dyDescent="0.2">
      <c r="A294" s="4" t="s">
        <v>65</v>
      </c>
      <c r="B294" s="4" t="s">
        <v>64</v>
      </c>
      <c r="C294" s="8" t="str">
        <f ca="1">IF($H$10&lt;&gt;"R",IF(DB_TBL_DATA_FIELDS[[#This Row],[SHEET_REF_OWNER]]&lt;&gt;"",DB_TBL_DATA_FIELDS[[#This Row],[SHEET_REF_OWNER]],""),IF(DB_TBL_DATA_FIELDS[[#This Row],[SHEET_REF_RENTAL]]&lt;&gt;"",DB_TBL_DATA_FIELDS[[#This Row],[SHEET_REF_RENTAL]],""))</f>
        <v>RentalApp</v>
      </c>
      <c r="D294" s="4" t="s">
        <v>3281</v>
      </c>
      <c r="E294" s="4" t="b">
        <v>1</v>
      </c>
      <c r="F294" s="25" t="b">
        <v>0</v>
      </c>
      <c r="G294" s="6" t="s">
        <v>3287</v>
      </c>
      <c r="H294" s="29" t="str">
        <f ca="1">IF(H293&lt;&gt;"",IFERROR(INDEX(INDIRECT(DB_TBL_DATA_FIELDS[[#This Row],[FIELD_ID]]),MATCH(H293,LOOKUP_COMMSTABILITY_CODES,0)),"{INVALID}"),"")</f>
        <v/>
      </c>
      <c r="I294" s="29" t="str">
        <f ca="1">IF(DB_TBL_DATA_FIELDS[[#This Row],[FIELD_EMPTY_FLAG]],"",DB_TBL_DATA_FIELDS[[#This Row],[FIELD_VALUE_RAW]]&lt;&gt;"{INVALID}")</f>
        <v/>
      </c>
      <c r="J294" s="6" t="b">
        <f ca="1">(DB_TBL_DATA_FIELDS[[#This Row],[FIELD_VALUE_RAW]]="")</f>
        <v>1</v>
      </c>
      <c r="K294" s="6" t="s">
        <v>11</v>
      </c>
      <c r="L294" s="8" t="b">
        <f ca="1">AND(IF(DB_TBL_DATA_FIELDS[[#This Row],[FIELD_VALID_CUSTOM_LOGIC]]="",TRUE,DB_TBL_DATA_FIELDS[[#This Row],[FIELD_VALID_CUSTOM_LOGIC]]),DB_TBL_DATA_FIELDS[[#This Row],[RANGE_VALIDATION_PASSED_FLAG]])</f>
        <v>1</v>
      </c>
      <c r="M294"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94" s="8">
        <f ca="1">IF(DB_TBL_DATA_FIELDS[[#This Row],[SHEET_REF_CALC]]="","",IF(DB_TBL_DATA_FIELDS[[#This Row],[FIELD_EMPTY_FLAG]],IF(NOT(DB_TBL_DATA_FIELDS[[#This Row],[FIELD_REQ_FLAG]]),-1,1),IF(NOT(DB_TBL_DATA_FIELDS[[#This Row],[FIELD_VALID_FLAG]]),0,2)))</f>
        <v>-1</v>
      </c>
      <c r="O294" s="8" t="str">
        <f ca="1">IFERROR(VLOOKUP(DB_TBL_DATA_FIELDS[[#This Row],[FIELD_STATUS_CODE]],DB_TBL_CONFIG_FIELDSTATUSCODES[#All],3,FALSE),"")</f>
        <v>Optional</v>
      </c>
      <c r="P294" s="8" t="str">
        <f ca="1">IFERROR(VLOOKUP(DB_TBL_DATA_FIELDS[[#This Row],[FIELD_STATUS_CODE]],DB_TBL_CONFIG_FIELDSTATUSCODES[#All],4,FALSE),"")</f>
        <v xml:space="preserve"> </v>
      </c>
      <c r="Q294" s="8" t="b">
        <f>TRUE</f>
        <v>1</v>
      </c>
      <c r="R294" s="8" t="b">
        <v>0</v>
      </c>
      <c r="S294" s="4"/>
      <c r="T294" s="8">
        <f ca="1">IF(DB_TBL_DATA_FIELDS[[#This Row],[RANGE_VALIDATION_FLAG]]="Text",LEN(DB_TBL_DATA_FIELDS[[#This Row],[FIELD_VALUE_RAW]]),IFERROR(VALUE(DB_TBL_DATA_FIELDS[[#This Row],[FIELD_VALUE_RAW]]),-1))</f>
        <v>-1</v>
      </c>
      <c r="U294" s="7">
        <v>0</v>
      </c>
      <c r="V294" s="7">
        <v>32767</v>
      </c>
      <c r="W294" s="8" t="b">
        <f>IF(NOT(DB_TBL_DATA_FIELDS[[#This Row],[RANGE_VALIDATION_ON_FLAG]]),TRUE,
AND(DB_TBL_DATA_FIELDS[[#This Row],[RANGE_VALUE_LEN]]&gt;=DB_TBL_DATA_FIELDS[[#This Row],[RANGE_VALIDATION_MIN]],DB_TBL_DATA_FIELDS[[#This Row],[RANGE_VALUE_LEN]]&lt;=DB_TBL_DATA_FIELDS[[#This Row],[RANGE_VALIDATION_MAX]]))</f>
        <v>1</v>
      </c>
      <c r="X294" s="8">
        <v>0</v>
      </c>
      <c r="Y294" s="8" t="str">
        <f ca="1">IF(DB_TBL_DATA_FIELDS[[#This Row],[PCT_CALC_SHOW_STATUS_CODE]]=1,
DB_TBL_DATA_FIELDS[[#This Row],[FIELD_STATUS_CODE]],
IF(AND(DB_TBL_DATA_FIELDS[[#This Row],[PCT_CALC_SHOW_STATUS_CODE]]=2,DB_TBL_DATA_FIELDS[[#This Row],[FIELD_STATUS_CODE]]=0),
DB_TBL_DATA_FIELDS[[#This Row],[FIELD_STATUS_CODE]],
"")
)</f>
        <v/>
      </c>
      <c r="Z294" s="8"/>
      <c r="AA294" s="11" t="s">
        <v>3280</v>
      </c>
      <c r="AB294" s="10" t="s">
        <v>3266</v>
      </c>
      <c r="AC294" s="8" t="s">
        <v>3271</v>
      </c>
    </row>
    <row r="295" spans="1:29" x14ac:dyDescent="0.2">
      <c r="A295" s="4" t="s">
        <v>65</v>
      </c>
      <c r="B295" s="4" t="s">
        <v>64</v>
      </c>
      <c r="C295" s="8" t="str">
        <f ca="1">IF($H$10&lt;&gt;"R",IF(DB_TBL_DATA_FIELDS[[#This Row],[SHEET_REF_OWNER]]&lt;&gt;"",DB_TBL_DATA_FIELDS[[#This Row],[SHEET_REF_OWNER]],""),IF(DB_TBL_DATA_FIELDS[[#This Row],[SHEET_REF_RENTAL]]&lt;&gt;"",DB_TBL_DATA_FIELDS[[#This Row],[SHEET_REF_RENTAL]],""))</f>
        <v>RentalApp</v>
      </c>
      <c r="D295" s="4" t="s">
        <v>3302</v>
      </c>
      <c r="E295" s="4" t="b">
        <v>1</v>
      </c>
      <c r="F295" s="25" t="b">
        <v>1</v>
      </c>
      <c r="G295" s="6" t="s">
        <v>3303</v>
      </c>
      <c r="H295" s="33" t="str">
        <f ca="1">IFERROR(VLOOKUP(DB_TBL_DATA_FIELDS[[#This Row],[FIELD_ID]],INDIRECT(DB_TBL_DATA_FIELDS[[#This Row],[SHEET_REF_CALC]]&amp;"!A:B"),2,FALSE),"")</f>
        <v/>
      </c>
      <c r="I295" s="33"/>
      <c r="J295" s="6" t="b">
        <f ca="1">(DB_TBL_DATA_FIELDS[[#This Row],[FIELD_VALUE_RAW]]="")</f>
        <v>1</v>
      </c>
      <c r="K295" s="6" t="s">
        <v>62</v>
      </c>
      <c r="L295" s="8" t="b">
        <f ca="1">AND(IF(DB_TBL_DATA_FIELDS[[#This Row],[FIELD_VALID_CUSTOM_LOGIC]]="",TRUE,DB_TBL_DATA_FIELDS[[#This Row],[FIELD_VALID_CUSTOM_LOGIC]]),DB_TBL_DATA_FIELDS[[#This Row],[RANGE_VALIDATION_PASSED_FLAG]])</f>
        <v>0</v>
      </c>
      <c r="M295"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95" s="8">
        <f ca="1">IF(DB_TBL_DATA_FIELDS[[#This Row],[SHEET_REF_CALC]]="","",IF(DB_TBL_DATA_FIELDS[[#This Row],[FIELD_EMPTY_FLAG]],IF(NOT(DB_TBL_DATA_FIELDS[[#This Row],[FIELD_REQ_FLAG]]),-1,1),IF(NOT(DB_TBL_DATA_FIELDS[[#This Row],[FIELD_VALID_FLAG]]),0,2)))</f>
        <v>1</v>
      </c>
      <c r="O295" s="8" t="str">
        <f ca="1">IFERROR(VLOOKUP(DB_TBL_DATA_FIELDS[[#This Row],[FIELD_STATUS_CODE]],DB_TBL_CONFIG_FIELDSTATUSCODES[#All],3,FALSE),"")</f>
        <v>Required</v>
      </c>
      <c r="P295" s="8" t="str">
        <f ca="1">IFERROR(VLOOKUP(DB_TBL_DATA_FIELDS[[#This Row],[FIELD_STATUS_CODE]],DB_TBL_CONFIG_FIELDSTATUSCODES[#All],4,FALSE),"")</f>
        <v>i</v>
      </c>
      <c r="Q295" s="8" t="b">
        <f>TRUE</f>
        <v>1</v>
      </c>
      <c r="R295" s="8" t="b">
        <f>TRUE</f>
        <v>1</v>
      </c>
      <c r="S295" s="4" t="s">
        <v>62</v>
      </c>
      <c r="T295" s="8">
        <f ca="1">IF(DB_TBL_DATA_FIELDS[[#This Row],[RANGE_VALIDATION_FLAG]]="Text",LEN(DB_TBL_DATA_FIELDS[[#This Row],[FIELD_VALUE_RAW]]),IFERROR(VALUE(DB_TBL_DATA_FIELDS[[#This Row],[FIELD_VALUE_RAW]]),-1))</f>
        <v>-1</v>
      </c>
      <c r="U295" s="7">
        <v>0</v>
      </c>
      <c r="V295" s="8">
        <v>999999999999</v>
      </c>
      <c r="W295" s="8" t="b">
        <f ca="1">IF(NOT(DB_TBL_DATA_FIELDS[[#This Row],[RANGE_VALIDATION_ON_FLAG]]),TRUE,
AND(DB_TBL_DATA_FIELDS[[#This Row],[RANGE_VALUE_LEN]]&gt;=DB_TBL_DATA_FIELDS[[#This Row],[RANGE_VALIDATION_MIN]],DB_TBL_DATA_FIELDS[[#This Row],[RANGE_VALUE_LEN]]&lt;=DB_TBL_DATA_FIELDS[[#This Row],[RANGE_VALIDATION_MAX]]))</f>
        <v>0</v>
      </c>
      <c r="X295" s="8">
        <v>1</v>
      </c>
      <c r="Y295" s="8">
        <f ca="1">IF(DB_TBL_DATA_FIELDS[[#This Row],[PCT_CALC_SHOW_STATUS_CODE]]=1,
DB_TBL_DATA_FIELDS[[#This Row],[FIELD_STATUS_CODE]],
IF(AND(DB_TBL_DATA_FIELDS[[#This Row],[PCT_CALC_SHOW_STATUS_CODE]]=2,DB_TBL_DATA_FIELDS[[#This Row],[FIELD_STATUS_CODE]]=0),
DB_TBL_DATA_FIELDS[[#This Row],[FIELD_STATUS_CODE]],
"")
)</f>
        <v>1</v>
      </c>
      <c r="Z295" s="8"/>
      <c r="AA295" s="11" t="s">
        <v>3304</v>
      </c>
      <c r="AB295" s="10" t="s">
        <v>3266</v>
      </c>
      <c r="AC295" s="8"/>
    </row>
    <row r="296" spans="1:29" x14ac:dyDescent="0.2">
      <c r="A296" s="4" t="s">
        <v>65</v>
      </c>
      <c r="B296" s="4" t="s">
        <v>64</v>
      </c>
      <c r="C296" s="8" t="str">
        <f ca="1">IF($H$10&lt;&gt;"R",IF(DB_TBL_DATA_FIELDS[[#This Row],[SHEET_REF_OWNER]]&lt;&gt;"",DB_TBL_DATA_FIELDS[[#This Row],[SHEET_REF_OWNER]],""),IF(DB_TBL_DATA_FIELDS[[#This Row],[SHEET_REF_RENTAL]]&lt;&gt;"",DB_TBL_DATA_FIELDS[[#This Row],[SHEET_REF_RENTAL]],""))</f>
        <v>RentalApp</v>
      </c>
      <c r="D296" s="378" t="s">
        <v>3640</v>
      </c>
      <c r="E296" s="4" t="b">
        <v>0</v>
      </c>
      <c r="F296" s="41" t="b">
        <f ca="1">IF(DATA_CS_PROXIMITY_TRANSITLINES="",FALSE,VALUE(DATA_CS_PROXIMITY_TRANSITLINES)&gt;0)</f>
        <v>0</v>
      </c>
      <c r="G296" s="6" t="s">
        <v>3644</v>
      </c>
      <c r="H296" s="33" t="str">
        <f ca="1">IFERROR(VLOOKUP(DB_TBL_DATA_FIELDS[[#This Row],[FIELD_ID]],INDIRECT(DB_TBL_DATA_FIELDS[[#This Row],[SHEET_REF_CALC]]&amp;"!A:B"),2,FALSE),"")</f>
        <v/>
      </c>
      <c r="I296" s="29" t="str">
        <f ca="1">IF(DB_TBL_DATA_FIELDS[[#This Row],[FIELD_VALUE_RAW]]="","",DB_TBL_DATA_FIELDS[[#This Row],[FIELD_REQ_FLAG]])</f>
        <v/>
      </c>
      <c r="J296" s="6" t="b">
        <f ca="1">(DB_TBL_DATA_FIELDS[[#This Row],[FIELD_VALUE_RAW]]="")</f>
        <v>1</v>
      </c>
      <c r="K296" s="6" t="s">
        <v>11</v>
      </c>
      <c r="L296" s="8" t="b">
        <f ca="1">AND(IF(DB_TBL_DATA_FIELDS[[#This Row],[FIELD_VALID_CUSTOM_LOGIC]]="",TRUE,DB_TBL_DATA_FIELDS[[#This Row],[FIELD_VALID_CUSTOM_LOGIC]]),DB_TBL_DATA_FIELDS[[#This Row],[RANGE_VALIDATION_PASSED_FLAG]])</f>
        <v>1</v>
      </c>
      <c r="M296"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96" s="8">
        <f ca="1">IF(DB_TBL_DATA_FIELDS[[#This Row],[SHEET_REF_CALC]]="","",IF(DB_TBL_DATA_FIELDS[[#This Row],[FIELD_EMPTY_FLAG]],IF(NOT(DB_TBL_DATA_FIELDS[[#This Row],[FIELD_REQ_FLAG]]),-1,1),IF(NOT(DB_TBL_DATA_FIELDS[[#This Row],[FIELD_VALID_FLAG]]),0,2)))</f>
        <v>-1</v>
      </c>
      <c r="O296" s="8" t="str">
        <f ca="1">IFERROR(VLOOKUP(DB_TBL_DATA_FIELDS[[#This Row],[FIELD_STATUS_CODE]],DB_TBL_CONFIG_FIELDSTATUSCODES[#All],3,FALSE),"")</f>
        <v>Optional</v>
      </c>
      <c r="P296" s="8" t="str">
        <f ca="1">IFERROR(VLOOKUP(DB_TBL_DATA_FIELDS[[#This Row],[FIELD_STATUS_CODE]],DB_TBL_CONFIG_FIELDSTATUSCODES[#All],4,FALSE),"")</f>
        <v xml:space="preserve"> </v>
      </c>
      <c r="Q296" s="8" t="b">
        <f>TRUE</f>
        <v>1</v>
      </c>
      <c r="R296" s="8" t="b">
        <f>TRUE</f>
        <v>1</v>
      </c>
      <c r="S296" s="4" t="s">
        <v>11</v>
      </c>
      <c r="T296" s="8">
        <f ca="1">IF(DB_TBL_DATA_FIELDS[[#This Row],[RANGE_VALIDATION_FLAG]]="Text",LEN(DB_TBL_DATA_FIELDS[[#This Row],[FIELD_VALUE_RAW]]),IFERROR(VALUE(DB_TBL_DATA_FIELDS[[#This Row],[FIELD_VALUE_RAW]]),-1))</f>
        <v>0</v>
      </c>
      <c r="U296" s="7">
        <v>0</v>
      </c>
      <c r="V296" s="101">
        <f>CONFIG_CHAR_LIMIT_SMALL</f>
        <v>1000</v>
      </c>
      <c r="W296" s="8" t="b">
        <f ca="1">IF(NOT(DB_TBL_DATA_FIELDS[[#This Row],[RANGE_VALIDATION_ON_FLAG]]),TRUE,
AND(DB_TBL_DATA_FIELDS[[#This Row],[RANGE_VALUE_LEN]]&gt;=DB_TBL_DATA_FIELDS[[#This Row],[RANGE_VALIDATION_MIN]],DB_TBL_DATA_FIELDS[[#This Row],[RANGE_VALUE_LEN]]&lt;=DB_TBL_DATA_FIELDS[[#This Row],[RANGE_VALIDATION_MAX]]))</f>
        <v>1</v>
      </c>
      <c r="X296" s="8">
        <v>1</v>
      </c>
      <c r="Y296" s="8">
        <f ca="1">IF(DB_TBL_DATA_FIELDS[[#This Row],[PCT_CALC_SHOW_STATUS_CODE]]=1,
DB_TBL_DATA_FIELDS[[#This Row],[FIELD_STATUS_CODE]],
IF(AND(DB_TBL_DATA_FIELDS[[#This Row],[PCT_CALC_SHOW_STATUS_CODE]]=2,DB_TBL_DATA_FIELDS[[#This Row],[FIELD_STATUS_CODE]]=0),
DB_TBL_DATA_FIELDS[[#This Row],[FIELD_STATUS_CODE]],
"")
)</f>
        <v>-1</v>
      </c>
      <c r="Z296" s="8"/>
      <c r="AA296" s="11"/>
      <c r="AB296" s="10" t="s">
        <v>3266</v>
      </c>
      <c r="AC296" s="8" t="s">
        <v>3615</v>
      </c>
    </row>
    <row r="297" spans="1:29" x14ac:dyDescent="0.2">
      <c r="A297" s="4" t="s">
        <v>65</v>
      </c>
      <c r="B297" s="4" t="s">
        <v>64</v>
      </c>
      <c r="C297" s="8" t="str">
        <f ca="1">IF($H$10&lt;&gt;"R",IF(DB_TBL_DATA_FIELDS[[#This Row],[SHEET_REF_OWNER]]&lt;&gt;"",DB_TBL_DATA_FIELDS[[#This Row],[SHEET_REF_OWNER]],""),IF(DB_TBL_DATA_FIELDS[[#This Row],[SHEET_REF_RENTAL]]&lt;&gt;"",DB_TBL_DATA_FIELDS[[#This Row],[SHEET_REF_RENTAL]],""))</f>
        <v>RentalApp</v>
      </c>
      <c r="D297" s="4" t="s">
        <v>3305</v>
      </c>
      <c r="E297" s="4" t="b">
        <v>1</v>
      </c>
      <c r="F297" s="25" t="b">
        <v>1</v>
      </c>
      <c r="G297" s="6" t="s">
        <v>3306</v>
      </c>
      <c r="H297" s="33" t="str">
        <f ca="1">IFERROR(VLOOKUP(DB_TBL_DATA_FIELDS[[#This Row],[FIELD_ID]],INDIRECT(DB_TBL_DATA_FIELDS[[#This Row],[SHEET_REF_CALC]]&amp;"!A:B"),2,FALSE),"")</f>
        <v/>
      </c>
      <c r="I297" s="33"/>
      <c r="J297" s="6" t="b">
        <f ca="1">(DB_TBL_DATA_FIELDS[[#This Row],[FIELD_VALUE_RAW]]="")</f>
        <v>1</v>
      </c>
      <c r="K297" s="6" t="s">
        <v>62</v>
      </c>
      <c r="L297" s="8" t="b">
        <f ca="1">AND(IF(DB_TBL_DATA_FIELDS[[#This Row],[FIELD_VALID_CUSTOM_LOGIC]]="",TRUE,DB_TBL_DATA_FIELDS[[#This Row],[FIELD_VALID_CUSTOM_LOGIC]]),DB_TBL_DATA_FIELDS[[#This Row],[RANGE_VALIDATION_PASSED_FLAG]])</f>
        <v>0</v>
      </c>
      <c r="M297"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97" s="8">
        <f ca="1">IF(DB_TBL_DATA_FIELDS[[#This Row],[SHEET_REF_CALC]]="","",IF(DB_TBL_DATA_FIELDS[[#This Row],[FIELD_EMPTY_FLAG]],IF(NOT(DB_TBL_DATA_FIELDS[[#This Row],[FIELD_REQ_FLAG]]),-1,1),IF(NOT(DB_TBL_DATA_FIELDS[[#This Row],[FIELD_VALID_FLAG]]),0,2)))</f>
        <v>1</v>
      </c>
      <c r="O297" s="8" t="str">
        <f ca="1">IFERROR(VLOOKUP(DB_TBL_DATA_FIELDS[[#This Row],[FIELD_STATUS_CODE]],DB_TBL_CONFIG_FIELDSTATUSCODES[#All],3,FALSE),"")</f>
        <v>Required</v>
      </c>
      <c r="P297" s="8" t="str">
        <f ca="1">IFERROR(VLOOKUP(DB_TBL_DATA_FIELDS[[#This Row],[FIELD_STATUS_CODE]],DB_TBL_CONFIG_FIELDSTATUSCODES[#All],4,FALSE),"")</f>
        <v>i</v>
      </c>
      <c r="Q297" s="8" t="b">
        <f>TRUE</f>
        <v>1</v>
      </c>
      <c r="R297" s="8" t="b">
        <f>TRUE</f>
        <v>1</v>
      </c>
      <c r="S297" s="4" t="s">
        <v>62</v>
      </c>
      <c r="T297" s="8">
        <f ca="1">IF(DB_TBL_DATA_FIELDS[[#This Row],[RANGE_VALIDATION_FLAG]]="Text",LEN(DB_TBL_DATA_FIELDS[[#This Row],[FIELD_VALUE_RAW]]),IFERROR(VALUE(DB_TBL_DATA_FIELDS[[#This Row],[FIELD_VALUE_RAW]]),-1))</f>
        <v>-1</v>
      </c>
      <c r="U297" s="7">
        <v>0</v>
      </c>
      <c r="V297" s="8">
        <v>999999999999</v>
      </c>
      <c r="W297" s="8" t="b">
        <f ca="1">IF(NOT(DB_TBL_DATA_FIELDS[[#This Row],[RANGE_VALIDATION_ON_FLAG]]),TRUE,
AND(DB_TBL_DATA_FIELDS[[#This Row],[RANGE_VALUE_LEN]]&gt;=DB_TBL_DATA_FIELDS[[#This Row],[RANGE_VALIDATION_MIN]],DB_TBL_DATA_FIELDS[[#This Row],[RANGE_VALUE_LEN]]&lt;=DB_TBL_DATA_FIELDS[[#This Row],[RANGE_VALIDATION_MAX]]))</f>
        <v>0</v>
      </c>
      <c r="X297" s="8">
        <v>1</v>
      </c>
      <c r="Y297" s="8">
        <f ca="1">IF(DB_TBL_DATA_FIELDS[[#This Row],[PCT_CALC_SHOW_STATUS_CODE]]=1,
DB_TBL_DATA_FIELDS[[#This Row],[FIELD_STATUS_CODE]],
IF(AND(DB_TBL_DATA_FIELDS[[#This Row],[PCT_CALC_SHOW_STATUS_CODE]]=2,DB_TBL_DATA_FIELDS[[#This Row],[FIELD_STATUS_CODE]]=0),
DB_TBL_DATA_FIELDS[[#This Row],[FIELD_STATUS_CODE]],
"")
)</f>
        <v>1</v>
      </c>
      <c r="Z297" s="8"/>
      <c r="AA297" s="11" t="s">
        <v>3307</v>
      </c>
      <c r="AB297" s="10" t="s">
        <v>3266</v>
      </c>
      <c r="AC297" s="8"/>
    </row>
    <row r="298" spans="1:29" x14ac:dyDescent="0.2">
      <c r="A298" s="4" t="s">
        <v>65</v>
      </c>
      <c r="B298" s="4" t="s">
        <v>64</v>
      </c>
      <c r="C298" s="8" t="str">
        <f ca="1">IF($H$10&lt;&gt;"R",IF(DB_TBL_DATA_FIELDS[[#This Row],[SHEET_REF_OWNER]]&lt;&gt;"",DB_TBL_DATA_FIELDS[[#This Row],[SHEET_REF_OWNER]],""),IF(DB_TBL_DATA_FIELDS[[#This Row],[SHEET_REF_RENTAL]]&lt;&gt;"",DB_TBL_DATA_FIELDS[[#This Row],[SHEET_REF_RENTAL]],""))</f>
        <v>RentalApp</v>
      </c>
      <c r="D298" s="378" t="s">
        <v>3641</v>
      </c>
      <c r="E298" s="4" t="b">
        <v>0</v>
      </c>
      <c r="F298" s="41" t="b">
        <f ca="1">IF(DATA_CS_PROXIMITY_AMENITIES="",FALSE,VALUE(DATA_CS_PROXIMITY_AMENITIES)&gt;0)</f>
        <v>0</v>
      </c>
      <c r="G298" s="6" t="s">
        <v>3643</v>
      </c>
      <c r="H298" s="33" t="str">
        <f ca="1">IFERROR(VLOOKUP(DB_TBL_DATA_FIELDS[[#This Row],[FIELD_ID]],INDIRECT(DB_TBL_DATA_FIELDS[[#This Row],[SHEET_REF_CALC]]&amp;"!A:B"),2,FALSE),"")</f>
        <v/>
      </c>
      <c r="I298" s="29" t="str">
        <f ca="1">IF(DB_TBL_DATA_FIELDS[[#This Row],[FIELD_VALUE_RAW]]="","",DB_TBL_DATA_FIELDS[[#This Row],[FIELD_REQ_FLAG]])</f>
        <v/>
      </c>
      <c r="J298" s="6" t="b">
        <f ca="1">(DB_TBL_DATA_FIELDS[[#This Row],[FIELD_VALUE_RAW]]="")</f>
        <v>1</v>
      </c>
      <c r="K298" s="6" t="s">
        <v>11</v>
      </c>
      <c r="L298" s="8" t="b">
        <f ca="1">AND(IF(DB_TBL_DATA_FIELDS[[#This Row],[FIELD_VALID_CUSTOM_LOGIC]]="",TRUE,DB_TBL_DATA_FIELDS[[#This Row],[FIELD_VALID_CUSTOM_LOGIC]]),DB_TBL_DATA_FIELDS[[#This Row],[RANGE_VALIDATION_PASSED_FLAG]])</f>
        <v>1</v>
      </c>
      <c r="M298"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98" s="8">
        <f ca="1">IF(DB_TBL_DATA_FIELDS[[#This Row],[SHEET_REF_CALC]]="","",IF(DB_TBL_DATA_FIELDS[[#This Row],[FIELD_EMPTY_FLAG]],IF(NOT(DB_TBL_DATA_FIELDS[[#This Row],[FIELD_REQ_FLAG]]),-1,1),IF(NOT(DB_TBL_DATA_FIELDS[[#This Row],[FIELD_VALID_FLAG]]),0,2)))</f>
        <v>-1</v>
      </c>
      <c r="O298" s="8" t="str">
        <f ca="1">IFERROR(VLOOKUP(DB_TBL_DATA_FIELDS[[#This Row],[FIELD_STATUS_CODE]],DB_TBL_CONFIG_FIELDSTATUSCODES[#All],3,FALSE),"")</f>
        <v>Optional</v>
      </c>
      <c r="P298" s="8" t="str">
        <f ca="1">IFERROR(VLOOKUP(DB_TBL_DATA_FIELDS[[#This Row],[FIELD_STATUS_CODE]],DB_TBL_CONFIG_FIELDSTATUSCODES[#All],4,FALSE),"")</f>
        <v xml:space="preserve"> </v>
      </c>
      <c r="Q298" s="8" t="b">
        <f>TRUE</f>
        <v>1</v>
      </c>
      <c r="R298" s="8" t="b">
        <f>TRUE</f>
        <v>1</v>
      </c>
      <c r="S298" s="4" t="s">
        <v>11</v>
      </c>
      <c r="T298" s="8">
        <f ca="1">IF(DB_TBL_DATA_FIELDS[[#This Row],[RANGE_VALIDATION_FLAG]]="Text",LEN(DB_TBL_DATA_FIELDS[[#This Row],[FIELD_VALUE_RAW]]),IFERROR(VALUE(DB_TBL_DATA_FIELDS[[#This Row],[FIELD_VALUE_RAW]]),-1))</f>
        <v>0</v>
      </c>
      <c r="U298" s="7">
        <v>0</v>
      </c>
      <c r="V298" s="101">
        <f>CONFIG_CHAR_LIMIT_SMALL</f>
        <v>1000</v>
      </c>
      <c r="W298" s="8" t="b">
        <f ca="1">IF(NOT(DB_TBL_DATA_FIELDS[[#This Row],[RANGE_VALIDATION_ON_FLAG]]),TRUE,
AND(DB_TBL_DATA_FIELDS[[#This Row],[RANGE_VALUE_LEN]]&gt;=DB_TBL_DATA_FIELDS[[#This Row],[RANGE_VALIDATION_MIN]],DB_TBL_DATA_FIELDS[[#This Row],[RANGE_VALUE_LEN]]&lt;=DB_TBL_DATA_FIELDS[[#This Row],[RANGE_VALIDATION_MAX]]))</f>
        <v>1</v>
      </c>
      <c r="X298" s="8">
        <v>1</v>
      </c>
      <c r="Y298" s="8">
        <f ca="1">IF(DB_TBL_DATA_FIELDS[[#This Row],[PCT_CALC_SHOW_STATUS_CODE]]=1,
DB_TBL_DATA_FIELDS[[#This Row],[FIELD_STATUS_CODE]],
IF(AND(DB_TBL_DATA_FIELDS[[#This Row],[PCT_CALC_SHOW_STATUS_CODE]]=2,DB_TBL_DATA_FIELDS[[#This Row],[FIELD_STATUS_CODE]]=0),
DB_TBL_DATA_FIELDS[[#This Row],[FIELD_STATUS_CODE]],
"")
)</f>
        <v>-1</v>
      </c>
      <c r="Z298" s="8"/>
      <c r="AA298" s="11"/>
      <c r="AB298" s="10" t="s">
        <v>3266</v>
      </c>
      <c r="AC298" s="8" t="s">
        <v>3615</v>
      </c>
    </row>
    <row r="299" spans="1:29" x14ac:dyDescent="0.2">
      <c r="A299" s="4" t="s">
        <v>65</v>
      </c>
      <c r="B299" s="4" t="s">
        <v>64</v>
      </c>
      <c r="C299" s="8" t="str">
        <f ca="1">IF($H$10&lt;&gt;"R",IF(DB_TBL_DATA_FIELDS[[#This Row],[SHEET_REF_OWNER]]&lt;&gt;"",DB_TBL_DATA_FIELDS[[#This Row],[SHEET_REF_OWNER]],""),IF(DB_TBL_DATA_FIELDS[[#This Row],[SHEET_REF_RENTAL]]&lt;&gt;"",DB_TBL_DATA_FIELDS[[#This Row],[SHEET_REF_RENTAL]],""))</f>
        <v>RentalApp</v>
      </c>
      <c r="D299" s="4" t="s">
        <v>3284</v>
      </c>
      <c r="E299" s="4" t="b">
        <v>0</v>
      </c>
      <c r="F299" s="25" t="b">
        <v>1</v>
      </c>
      <c r="G299" s="6" t="s">
        <v>3288</v>
      </c>
      <c r="H299" s="33" t="str">
        <f ca="1">IFERROR(IF(VLOOKUP(DB_TBL_DATA_FIELDS[[#This Row],[FIELD_ID]],INDIRECT(DB_TBL_DATA_FIELDS[[#This Row],[SHEET_REF_CALC]]&amp;"!A:B"),2,FALSE)&lt;1,"",VLOOKUP(DB_TBL_DATA_FIELDS[[#This Row],[FIELD_ID]],INDIRECT(DB_TBL_DATA_FIELDS[[#This Row],[SHEET_REF_CALC]]&amp;"!A:B"),2,FALSE)),"")</f>
        <v/>
      </c>
      <c r="I299" s="29" t="str">
        <f ca="1">IF(I300&lt;&gt;"",I300,"")</f>
        <v/>
      </c>
      <c r="J299" s="6" t="b">
        <f ca="1">(DB_TBL_DATA_FIELDS[[#This Row],[FIELD_VALUE_RAW]]="")</f>
        <v>1</v>
      </c>
      <c r="K299" s="6" t="s">
        <v>62</v>
      </c>
      <c r="L299" s="8" t="b">
        <f ca="1">AND(IF(DB_TBL_DATA_FIELDS[[#This Row],[FIELD_VALID_CUSTOM_LOGIC]]="",TRUE,DB_TBL_DATA_FIELDS[[#This Row],[FIELD_VALID_CUSTOM_LOGIC]]),DB_TBL_DATA_FIELDS[[#This Row],[RANGE_VALIDATION_PASSED_FLAG]])</f>
        <v>1</v>
      </c>
      <c r="M299"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99" s="8">
        <f ca="1">IF(DB_TBL_DATA_FIELDS[[#This Row],[SHEET_REF_CALC]]="","",IF(DB_TBL_DATA_FIELDS[[#This Row],[FIELD_EMPTY_FLAG]],IF(NOT(DB_TBL_DATA_FIELDS[[#This Row],[FIELD_REQ_FLAG]]),-1,1),IF(NOT(DB_TBL_DATA_FIELDS[[#This Row],[FIELD_VALID_FLAG]]),0,2)))</f>
        <v>1</v>
      </c>
      <c r="O299" s="8" t="str">
        <f ca="1">IFERROR(VLOOKUP(DB_TBL_DATA_FIELDS[[#This Row],[FIELD_STATUS_CODE]],DB_TBL_CONFIG_FIELDSTATUSCODES[#All],3,FALSE),"")</f>
        <v>Required</v>
      </c>
      <c r="P299" s="8" t="str">
        <f ca="1">IFERROR(VLOOKUP(DB_TBL_DATA_FIELDS[[#This Row],[FIELD_STATUS_CODE]],DB_TBL_CONFIG_FIELDSTATUSCODES[#All],4,FALSE),"")</f>
        <v>i</v>
      </c>
      <c r="Q299" s="8" t="b">
        <f>TRUE</f>
        <v>1</v>
      </c>
      <c r="R299" s="8" t="b">
        <v>0</v>
      </c>
      <c r="S299" s="4"/>
      <c r="T299" s="8">
        <f ca="1">IF(DB_TBL_DATA_FIELDS[[#This Row],[RANGE_VALIDATION_FLAG]]="Text",LEN(DB_TBL_DATA_FIELDS[[#This Row],[FIELD_VALUE_RAW]]),IFERROR(VALUE(DB_TBL_DATA_FIELDS[[#This Row],[FIELD_VALUE_RAW]]),-1))</f>
        <v>-1</v>
      </c>
      <c r="U299" s="7">
        <v>0</v>
      </c>
      <c r="V299" s="8">
        <v>999999999999</v>
      </c>
      <c r="W299" s="8" t="b">
        <f>IF(NOT(DB_TBL_DATA_FIELDS[[#This Row],[RANGE_VALIDATION_ON_FLAG]]),TRUE,
AND(DB_TBL_DATA_FIELDS[[#This Row],[RANGE_VALUE_LEN]]&gt;=DB_TBL_DATA_FIELDS[[#This Row],[RANGE_VALIDATION_MIN]],DB_TBL_DATA_FIELDS[[#This Row],[RANGE_VALUE_LEN]]&lt;=DB_TBL_DATA_FIELDS[[#This Row],[RANGE_VALIDATION_MAX]]))</f>
        <v>1</v>
      </c>
      <c r="X299" s="8">
        <v>1</v>
      </c>
      <c r="Y299" s="8">
        <f ca="1">IF(DB_TBL_DATA_FIELDS[[#This Row],[PCT_CALC_SHOW_STATUS_CODE]]=1,
DB_TBL_DATA_FIELDS[[#This Row],[FIELD_STATUS_CODE]],
IF(AND(DB_TBL_DATA_FIELDS[[#This Row],[PCT_CALC_SHOW_STATUS_CODE]]=2,DB_TBL_DATA_FIELDS[[#This Row],[FIELD_STATUS_CODE]]=0),
DB_TBL_DATA_FIELDS[[#This Row],[FIELD_STATUS_CODE]],
"")
)</f>
        <v>1</v>
      </c>
      <c r="Z299" s="8"/>
      <c r="AA299" s="11" t="s">
        <v>3290</v>
      </c>
      <c r="AB299" s="10" t="s">
        <v>3266</v>
      </c>
      <c r="AC299" s="8" t="s">
        <v>3267</v>
      </c>
    </row>
    <row r="300" spans="1:29" x14ac:dyDescent="0.2">
      <c r="A300" s="4" t="s">
        <v>65</v>
      </c>
      <c r="B300" s="4" t="s">
        <v>64</v>
      </c>
      <c r="C300" s="8" t="str">
        <f ca="1">IF($H$10&lt;&gt;"R",IF(DB_TBL_DATA_FIELDS[[#This Row],[SHEET_REF_OWNER]]&lt;&gt;"",DB_TBL_DATA_FIELDS[[#This Row],[SHEET_REF_OWNER]],""),IF(DB_TBL_DATA_FIELDS[[#This Row],[SHEET_REF_RENTAL]]&lt;&gt;"",DB_TBL_DATA_FIELDS[[#This Row],[SHEET_REF_RENTAL]],""))</f>
        <v>RentalApp</v>
      </c>
      <c r="D300" s="4" t="s">
        <v>3285</v>
      </c>
      <c r="E300" s="4" t="b">
        <v>1</v>
      </c>
      <c r="F300" s="25" t="b">
        <v>0</v>
      </c>
      <c r="G300" s="6" t="s">
        <v>3289</v>
      </c>
      <c r="H300" s="29" t="str">
        <f ca="1">IF(H299&lt;&gt;"",IFERROR(INDEX(INDIRECT(DB_TBL_DATA_FIELDS[[#This Row],[FIELD_ID]]),MATCH(H299,LOOKUP_COMMSTABILITY_CODES,0)),"{INVALID}"),"")</f>
        <v/>
      </c>
      <c r="I300" s="29" t="str">
        <f ca="1">IF(DB_TBL_DATA_FIELDS[[#This Row],[FIELD_EMPTY_FLAG]],"",DB_TBL_DATA_FIELDS[[#This Row],[FIELD_VALUE_RAW]]&lt;&gt;"{INVALID}")</f>
        <v/>
      </c>
      <c r="J300" s="6" t="b">
        <f ca="1">(DB_TBL_DATA_FIELDS[[#This Row],[FIELD_VALUE_RAW]]="")</f>
        <v>1</v>
      </c>
      <c r="K300" s="6" t="s">
        <v>11</v>
      </c>
      <c r="L300" s="8" t="b">
        <f ca="1">AND(IF(DB_TBL_DATA_FIELDS[[#This Row],[FIELD_VALID_CUSTOM_LOGIC]]="",TRUE,DB_TBL_DATA_FIELDS[[#This Row],[FIELD_VALID_CUSTOM_LOGIC]]),DB_TBL_DATA_FIELDS[[#This Row],[RANGE_VALIDATION_PASSED_FLAG]])</f>
        <v>1</v>
      </c>
      <c r="M300"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00" s="8">
        <f ca="1">IF(DB_TBL_DATA_FIELDS[[#This Row],[SHEET_REF_CALC]]="","",IF(DB_TBL_DATA_FIELDS[[#This Row],[FIELD_EMPTY_FLAG]],IF(NOT(DB_TBL_DATA_FIELDS[[#This Row],[FIELD_REQ_FLAG]]),-1,1),IF(NOT(DB_TBL_DATA_FIELDS[[#This Row],[FIELD_VALID_FLAG]]),0,2)))</f>
        <v>-1</v>
      </c>
      <c r="O300" s="8" t="str">
        <f ca="1">IFERROR(VLOOKUP(DB_TBL_DATA_FIELDS[[#This Row],[FIELD_STATUS_CODE]],DB_TBL_CONFIG_FIELDSTATUSCODES[#All],3,FALSE),"")</f>
        <v>Optional</v>
      </c>
      <c r="P300" s="8" t="str">
        <f ca="1">IFERROR(VLOOKUP(DB_TBL_DATA_FIELDS[[#This Row],[FIELD_STATUS_CODE]],DB_TBL_CONFIG_FIELDSTATUSCODES[#All],4,FALSE),"")</f>
        <v xml:space="preserve"> </v>
      </c>
      <c r="Q300" s="8" t="b">
        <f>TRUE</f>
        <v>1</v>
      </c>
      <c r="R300" s="8" t="b">
        <v>0</v>
      </c>
      <c r="S300" s="4"/>
      <c r="T300" s="8">
        <f ca="1">IF(DB_TBL_DATA_FIELDS[[#This Row],[RANGE_VALIDATION_FLAG]]="Text",LEN(DB_TBL_DATA_FIELDS[[#This Row],[FIELD_VALUE_RAW]]),IFERROR(VALUE(DB_TBL_DATA_FIELDS[[#This Row],[FIELD_VALUE_RAW]]),-1))</f>
        <v>-1</v>
      </c>
      <c r="U300" s="7">
        <v>0</v>
      </c>
      <c r="V300" s="7">
        <v>32767</v>
      </c>
      <c r="W300" s="8" t="b">
        <f>IF(NOT(DB_TBL_DATA_FIELDS[[#This Row],[RANGE_VALIDATION_ON_FLAG]]),TRUE,
AND(DB_TBL_DATA_FIELDS[[#This Row],[RANGE_VALUE_LEN]]&gt;=DB_TBL_DATA_FIELDS[[#This Row],[RANGE_VALIDATION_MIN]],DB_TBL_DATA_FIELDS[[#This Row],[RANGE_VALUE_LEN]]&lt;=DB_TBL_DATA_FIELDS[[#This Row],[RANGE_VALIDATION_MAX]]))</f>
        <v>1</v>
      </c>
      <c r="X300" s="8">
        <v>0</v>
      </c>
      <c r="Y300" s="8" t="str">
        <f ca="1">IF(DB_TBL_DATA_FIELDS[[#This Row],[PCT_CALC_SHOW_STATUS_CODE]]=1,
DB_TBL_DATA_FIELDS[[#This Row],[FIELD_STATUS_CODE]],
IF(AND(DB_TBL_DATA_FIELDS[[#This Row],[PCT_CALC_SHOW_STATUS_CODE]]=2,DB_TBL_DATA_FIELDS[[#This Row],[FIELD_STATUS_CODE]]=0),
DB_TBL_DATA_FIELDS[[#This Row],[FIELD_STATUS_CODE]],
"")
)</f>
        <v/>
      </c>
      <c r="Z300" s="8"/>
      <c r="AA300" s="11" t="s">
        <v>3290</v>
      </c>
      <c r="AB300" s="10" t="s">
        <v>3266</v>
      </c>
      <c r="AC300" s="8" t="s">
        <v>3271</v>
      </c>
    </row>
    <row r="301" spans="1:29" x14ac:dyDescent="0.2">
      <c r="A301" s="4" t="s">
        <v>65</v>
      </c>
      <c r="B301" s="4" t="s">
        <v>64</v>
      </c>
      <c r="C301" s="8" t="str">
        <f ca="1">IF($H$10&lt;&gt;"R",IF(DB_TBL_DATA_FIELDS[[#This Row],[SHEET_REF_OWNER]]&lt;&gt;"",DB_TBL_DATA_FIELDS[[#This Row],[SHEET_REF_OWNER]],""),IF(DB_TBL_DATA_FIELDS[[#This Row],[SHEET_REF_RENTAL]]&lt;&gt;"",DB_TBL_DATA_FIELDS[[#This Row],[SHEET_REF_RENTAL]],""))</f>
        <v>RentalApp</v>
      </c>
      <c r="D301" s="378" t="s">
        <v>3642</v>
      </c>
      <c r="E301" s="4" t="b">
        <v>0</v>
      </c>
      <c r="F301" s="41" t="b">
        <f ca="1">IF(DATA_CS_SUSTAINABLE_A_CODE="",FALSE,VALUE(DATA_CS_SUSTAINABLE_A_CODE)&lt;=4)</f>
        <v>0</v>
      </c>
      <c r="G301" s="6" t="s">
        <v>3645</v>
      </c>
      <c r="H301" s="29" t="str">
        <f ca="1">IFERROR(VLOOKUP(DB_TBL_DATA_FIELDS[[#This Row],[FIELD_ID]],INDIRECT(DB_TBL_DATA_FIELDS[[#This Row],[SHEET_REF_CALC]]&amp;"!A:B"),2,FALSE),"")</f>
        <v/>
      </c>
      <c r="I301" s="29" t="str">
        <f ca="1">IF(DB_TBL_DATA_FIELDS[[#This Row],[FIELD_VALUE_RAW]]="","",DB_TBL_DATA_FIELDS[[#This Row],[FIELD_REQ_FLAG]])</f>
        <v/>
      </c>
      <c r="J301" s="6" t="b">
        <f ca="1">(DB_TBL_DATA_FIELDS[[#This Row],[FIELD_VALUE_RAW]]="")</f>
        <v>1</v>
      </c>
      <c r="K301" s="6" t="s">
        <v>11</v>
      </c>
      <c r="L301" s="8" t="b">
        <f ca="1">AND(IF(DB_TBL_DATA_FIELDS[[#This Row],[FIELD_VALID_CUSTOM_LOGIC]]="",TRUE,DB_TBL_DATA_FIELDS[[#This Row],[FIELD_VALID_CUSTOM_LOGIC]]),DB_TBL_DATA_FIELDS[[#This Row],[RANGE_VALIDATION_PASSED_FLAG]])</f>
        <v>1</v>
      </c>
      <c r="M301"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01" s="8">
        <f ca="1">IF(DB_TBL_DATA_FIELDS[[#This Row],[SHEET_REF_CALC]]="","",IF(DB_TBL_DATA_FIELDS[[#This Row],[FIELD_EMPTY_FLAG]],IF(NOT(DB_TBL_DATA_FIELDS[[#This Row],[FIELD_REQ_FLAG]]),-1,1),IF(NOT(DB_TBL_DATA_FIELDS[[#This Row],[FIELD_VALID_FLAG]]),0,2)))</f>
        <v>-1</v>
      </c>
      <c r="O301" s="8" t="str">
        <f ca="1">IFERROR(VLOOKUP(DB_TBL_DATA_FIELDS[[#This Row],[FIELD_STATUS_CODE]],DB_TBL_CONFIG_FIELDSTATUSCODES[#All],3,FALSE),"")</f>
        <v>Optional</v>
      </c>
      <c r="P301" s="8" t="str">
        <f ca="1">IFERROR(VLOOKUP(DB_TBL_DATA_FIELDS[[#This Row],[FIELD_STATUS_CODE]],DB_TBL_CONFIG_FIELDSTATUSCODES[#All],4,FALSE),"")</f>
        <v xml:space="preserve"> </v>
      </c>
      <c r="Q301" s="8" t="b">
        <f>TRUE</f>
        <v>1</v>
      </c>
      <c r="R301" s="8" t="b">
        <f>TRUE</f>
        <v>1</v>
      </c>
      <c r="S301" s="4" t="s">
        <v>11</v>
      </c>
      <c r="T301" s="8">
        <f ca="1">IF(DB_TBL_DATA_FIELDS[[#This Row],[RANGE_VALIDATION_FLAG]]="Text",LEN(DB_TBL_DATA_FIELDS[[#This Row],[FIELD_VALUE_RAW]]),IFERROR(VALUE(DB_TBL_DATA_FIELDS[[#This Row],[FIELD_VALUE_RAW]]),-1))</f>
        <v>0</v>
      </c>
      <c r="U301" s="7">
        <v>0</v>
      </c>
      <c r="V301" s="101">
        <f>CONFIG_CHAR_LIMIT_SMALL</f>
        <v>1000</v>
      </c>
      <c r="W301" s="8" t="b">
        <f ca="1">IF(NOT(DB_TBL_DATA_FIELDS[[#This Row],[RANGE_VALIDATION_ON_FLAG]]),TRUE,
AND(DB_TBL_DATA_FIELDS[[#This Row],[RANGE_VALUE_LEN]]&gt;=DB_TBL_DATA_FIELDS[[#This Row],[RANGE_VALIDATION_MIN]],DB_TBL_DATA_FIELDS[[#This Row],[RANGE_VALUE_LEN]]&lt;=DB_TBL_DATA_FIELDS[[#This Row],[RANGE_VALIDATION_MAX]]))</f>
        <v>1</v>
      </c>
      <c r="X301" s="8">
        <v>1</v>
      </c>
      <c r="Y301" s="8">
        <f ca="1">IF(DB_TBL_DATA_FIELDS[[#This Row],[PCT_CALC_SHOW_STATUS_CODE]]=1,
DB_TBL_DATA_FIELDS[[#This Row],[FIELD_STATUS_CODE]],
IF(AND(DB_TBL_DATA_FIELDS[[#This Row],[PCT_CALC_SHOW_STATUS_CODE]]=2,DB_TBL_DATA_FIELDS[[#This Row],[FIELD_STATUS_CODE]]=0),
DB_TBL_DATA_FIELDS[[#This Row],[FIELD_STATUS_CODE]],
"")
)</f>
        <v>-1</v>
      </c>
      <c r="Z301" s="8"/>
      <c r="AA301" s="11"/>
      <c r="AB301" s="10" t="s">
        <v>3266</v>
      </c>
      <c r="AC301" s="8" t="s">
        <v>3615</v>
      </c>
    </row>
    <row r="302" spans="1:29" x14ac:dyDescent="0.2">
      <c r="A302" s="4" t="s">
        <v>65</v>
      </c>
      <c r="B302" s="4" t="s">
        <v>64</v>
      </c>
      <c r="C302" s="8" t="str">
        <f ca="1">IF($H$10&lt;&gt;"R",IF(DB_TBL_DATA_FIELDS[[#This Row],[SHEET_REF_OWNER]]&lt;&gt;"",DB_TBL_DATA_FIELDS[[#This Row],[SHEET_REF_OWNER]],""),IF(DB_TBL_DATA_FIELDS[[#This Row],[SHEET_REF_RENTAL]]&lt;&gt;"",DB_TBL_DATA_FIELDS[[#This Row],[SHEET_REF_RENTAL]],""))</f>
        <v>RentalApp</v>
      </c>
      <c r="D302" s="4" t="s">
        <v>3308</v>
      </c>
      <c r="E302" s="4" t="b">
        <v>1</v>
      </c>
      <c r="F302" s="25" t="b">
        <v>0</v>
      </c>
      <c r="G302" s="6" t="s">
        <v>3310</v>
      </c>
      <c r="H302" s="33" t="b">
        <f ca="1">IFERROR(VLOOKUP(DB_TBL_DATA_FIELDS[[#This Row],[FIELD_ID]],INDIRECT(DB_TBL_DATA_FIELDS[[#This Row],[SHEET_REF_CALC]]&amp;"!A:B"),2,FALSE),"")</f>
        <v>0</v>
      </c>
      <c r="I302" s="33"/>
      <c r="J302" s="6" t="b">
        <f ca="1">(DB_TBL_DATA_FIELDS[[#This Row],[FIELD_VALUE_RAW]]="")</f>
        <v>0</v>
      </c>
      <c r="K302" s="6" t="s">
        <v>209</v>
      </c>
      <c r="L302" s="8" t="b">
        <f>AND(IF(DB_TBL_DATA_FIELDS[[#This Row],[FIELD_VALID_CUSTOM_LOGIC]]="",TRUE,DB_TBL_DATA_FIELDS[[#This Row],[FIELD_VALID_CUSTOM_LOGIC]]),DB_TBL_DATA_FIELDS[[#This Row],[RANGE_VALIDATION_PASSED_FLAG]])</f>
        <v>1</v>
      </c>
      <c r="M302"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v>
      </c>
      <c r="N302" s="8">
        <f ca="1">IF(DB_TBL_DATA_FIELDS[[#This Row],[SHEET_REF_CALC]]="","",IF(DB_TBL_DATA_FIELDS[[#This Row],[FIELD_EMPTY_FLAG]],IF(NOT(DB_TBL_DATA_FIELDS[[#This Row],[FIELD_REQ_FLAG]]),-1,1),IF(NOT(DB_TBL_DATA_FIELDS[[#This Row],[FIELD_VALID_FLAG]]),0,2)))</f>
        <v>2</v>
      </c>
      <c r="O302" s="8" t="str">
        <f ca="1">IFERROR(VLOOKUP(DB_TBL_DATA_FIELDS[[#This Row],[FIELD_STATUS_CODE]],DB_TBL_CONFIG_FIELDSTATUSCODES[#All],3,FALSE),"")</f>
        <v>OK</v>
      </c>
      <c r="P302" s="8" t="str">
        <f ca="1">IFERROR(VLOOKUP(DB_TBL_DATA_FIELDS[[#This Row],[FIELD_STATUS_CODE]],DB_TBL_CONFIG_FIELDSTATUSCODES[#All],4,FALSE),"")</f>
        <v>a</v>
      </c>
      <c r="Q302" s="8" t="b">
        <f>TRUE</f>
        <v>1</v>
      </c>
      <c r="R302" s="8" t="b">
        <v>0</v>
      </c>
      <c r="S302" s="4"/>
      <c r="T302" s="8">
        <f ca="1">IF(DB_TBL_DATA_FIELDS[[#This Row],[RANGE_VALIDATION_FLAG]]="Text",LEN(DB_TBL_DATA_FIELDS[[#This Row],[FIELD_VALUE_RAW]]),IFERROR(VALUE(DB_TBL_DATA_FIELDS[[#This Row],[FIELD_VALUE_RAW]]),-1))</f>
        <v>-1</v>
      </c>
      <c r="U302" s="7">
        <v>0</v>
      </c>
      <c r="V302" s="7">
        <v>1</v>
      </c>
      <c r="W302" s="8" t="b">
        <f>IF(NOT(DB_TBL_DATA_FIELDS[[#This Row],[RANGE_VALIDATION_ON_FLAG]]),TRUE,
AND(DB_TBL_DATA_FIELDS[[#This Row],[RANGE_VALUE_LEN]]&gt;=DB_TBL_DATA_FIELDS[[#This Row],[RANGE_VALIDATION_MIN]],DB_TBL_DATA_FIELDS[[#This Row],[RANGE_VALUE_LEN]]&lt;=DB_TBL_DATA_FIELDS[[#This Row],[RANGE_VALIDATION_MAX]]))</f>
        <v>1</v>
      </c>
      <c r="X302" s="8">
        <v>0</v>
      </c>
      <c r="Y302" s="8" t="str">
        <f ca="1">IF(DB_TBL_DATA_FIELDS[[#This Row],[PCT_CALC_SHOW_STATUS_CODE]]=1,
DB_TBL_DATA_FIELDS[[#This Row],[FIELD_STATUS_CODE]],
IF(AND(DB_TBL_DATA_FIELDS[[#This Row],[PCT_CALC_SHOW_STATUS_CODE]]=2,DB_TBL_DATA_FIELDS[[#This Row],[FIELD_STATUS_CODE]]=0),
DB_TBL_DATA_FIELDS[[#This Row],[FIELD_STATUS_CODE]],
"")
)</f>
        <v/>
      </c>
      <c r="Z302" s="8"/>
      <c r="AA302" s="11" t="s">
        <v>3312</v>
      </c>
      <c r="AB302" s="10" t="s">
        <v>3266</v>
      </c>
      <c r="AC302" s="8" t="s">
        <v>3314</v>
      </c>
    </row>
    <row r="303" spans="1:29" x14ac:dyDescent="0.2">
      <c r="A303" s="4" t="s">
        <v>65</v>
      </c>
      <c r="B303" s="4" t="s">
        <v>64</v>
      </c>
      <c r="C303" s="8" t="str">
        <f ca="1">IF($H$10&lt;&gt;"R",IF(DB_TBL_DATA_FIELDS[[#This Row],[SHEET_REF_OWNER]]&lt;&gt;"",DB_TBL_DATA_FIELDS[[#This Row],[SHEET_REF_OWNER]],""),IF(DB_TBL_DATA_FIELDS[[#This Row],[SHEET_REF_RENTAL]]&lt;&gt;"",DB_TBL_DATA_FIELDS[[#This Row],[SHEET_REF_RENTAL]],""))</f>
        <v>RentalApp</v>
      </c>
      <c r="D303" s="4" t="s">
        <v>3309</v>
      </c>
      <c r="E303" s="4" t="b">
        <v>1</v>
      </c>
      <c r="F303" s="25" t="b">
        <v>0</v>
      </c>
      <c r="G303" s="6" t="s">
        <v>3311</v>
      </c>
      <c r="H303" s="33" t="b">
        <f ca="1">IFERROR(VLOOKUP(DB_TBL_DATA_FIELDS[[#This Row],[FIELD_ID]],INDIRECT(DB_TBL_DATA_FIELDS[[#This Row],[SHEET_REF_CALC]]&amp;"!A:B"),2,FALSE),"")</f>
        <v>0</v>
      </c>
      <c r="I303" s="33"/>
      <c r="J303" s="6" t="b">
        <f ca="1">(DB_TBL_DATA_FIELDS[[#This Row],[FIELD_VALUE_RAW]]="")</f>
        <v>0</v>
      </c>
      <c r="K303" s="6" t="s">
        <v>209</v>
      </c>
      <c r="L303" s="8" t="b">
        <f>AND(IF(DB_TBL_DATA_FIELDS[[#This Row],[FIELD_VALID_CUSTOM_LOGIC]]="",TRUE,DB_TBL_DATA_FIELDS[[#This Row],[FIELD_VALID_CUSTOM_LOGIC]]),DB_TBL_DATA_FIELDS[[#This Row],[RANGE_VALIDATION_PASSED_FLAG]])</f>
        <v>1</v>
      </c>
      <c r="M303"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v>
      </c>
      <c r="N303" s="8">
        <f ca="1">IF(DB_TBL_DATA_FIELDS[[#This Row],[SHEET_REF_CALC]]="","",IF(DB_TBL_DATA_FIELDS[[#This Row],[FIELD_EMPTY_FLAG]],IF(NOT(DB_TBL_DATA_FIELDS[[#This Row],[FIELD_REQ_FLAG]]),-1,1),IF(NOT(DB_TBL_DATA_FIELDS[[#This Row],[FIELD_VALID_FLAG]]),0,2)))</f>
        <v>2</v>
      </c>
      <c r="O303" s="8" t="str">
        <f ca="1">IFERROR(VLOOKUP(DB_TBL_DATA_FIELDS[[#This Row],[FIELD_STATUS_CODE]],DB_TBL_CONFIG_FIELDSTATUSCODES[#All],3,FALSE),"")</f>
        <v>OK</v>
      </c>
      <c r="P303" s="8" t="str">
        <f ca="1">IFERROR(VLOOKUP(DB_TBL_DATA_FIELDS[[#This Row],[FIELD_STATUS_CODE]],DB_TBL_CONFIG_FIELDSTATUSCODES[#All],4,FALSE),"")</f>
        <v>a</v>
      </c>
      <c r="Q303" s="8" t="b">
        <f>TRUE</f>
        <v>1</v>
      </c>
      <c r="R303" s="8" t="b">
        <v>0</v>
      </c>
      <c r="S303" s="4"/>
      <c r="T303" s="8">
        <f ca="1">IF(DB_TBL_DATA_FIELDS[[#This Row],[RANGE_VALIDATION_FLAG]]="Text",LEN(DB_TBL_DATA_FIELDS[[#This Row],[FIELD_VALUE_RAW]]),IFERROR(VALUE(DB_TBL_DATA_FIELDS[[#This Row],[FIELD_VALUE_RAW]]),-1))</f>
        <v>-1</v>
      </c>
      <c r="U303" s="7">
        <v>0</v>
      </c>
      <c r="V303" s="7">
        <v>1</v>
      </c>
      <c r="W303" s="8" t="b">
        <f>IF(NOT(DB_TBL_DATA_FIELDS[[#This Row],[RANGE_VALIDATION_ON_FLAG]]),TRUE,
AND(DB_TBL_DATA_FIELDS[[#This Row],[RANGE_VALUE_LEN]]&gt;=DB_TBL_DATA_FIELDS[[#This Row],[RANGE_VALIDATION_MIN]],DB_TBL_DATA_FIELDS[[#This Row],[RANGE_VALUE_LEN]]&lt;=DB_TBL_DATA_FIELDS[[#This Row],[RANGE_VALIDATION_MAX]]))</f>
        <v>1</v>
      </c>
      <c r="X303" s="8">
        <v>0</v>
      </c>
      <c r="Y303" s="8" t="str">
        <f ca="1">IF(DB_TBL_DATA_FIELDS[[#This Row],[PCT_CALC_SHOW_STATUS_CODE]]=1,
DB_TBL_DATA_FIELDS[[#This Row],[FIELD_STATUS_CODE]],
IF(AND(DB_TBL_DATA_FIELDS[[#This Row],[PCT_CALC_SHOW_STATUS_CODE]]=2,DB_TBL_DATA_FIELDS[[#This Row],[FIELD_STATUS_CODE]]=0),
DB_TBL_DATA_FIELDS[[#This Row],[FIELD_STATUS_CODE]],
"")
)</f>
        <v/>
      </c>
      <c r="Z303" s="8"/>
      <c r="AA303" s="11" t="s">
        <v>3312</v>
      </c>
      <c r="AB303" s="10" t="s">
        <v>3266</v>
      </c>
      <c r="AC303" s="8" t="s">
        <v>3313</v>
      </c>
    </row>
    <row r="304" spans="1:29" x14ac:dyDescent="0.2">
      <c r="A304" s="4" t="s">
        <v>65</v>
      </c>
      <c r="B304" s="4" t="s">
        <v>64</v>
      </c>
      <c r="C304" s="8" t="str">
        <f ca="1">IF($H$10&lt;&gt;"R",IF(DB_TBL_DATA_FIELDS[[#This Row],[SHEET_REF_OWNER]]&lt;&gt;"",DB_TBL_DATA_FIELDS[[#This Row],[SHEET_REF_OWNER]],""),IF(DB_TBL_DATA_FIELDS[[#This Row],[SHEET_REF_RENTAL]]&lt;&gt;"",DB_TBL_DATA_FIELDS[[#This Row],[SHEET_REF_RENTAL]],""))</f>
        <v>RentalApp</v>
      </c>
      <c r="D304" s="4" t="s">
        <v>3294</v>
      </c>
      <c r="E304" s="4" t="b">
        <v>0</v>
      </c>
      <c r="F304" s="25" t="b">
        <v>1</v>
      </c>
      <c r="G304" s="6" t="s">
        <v>3296</v>
      </c>
      <c r="H304" s="33" t="str">
        <f ca="1">IFERROR(IF(VLOOKUP(DB_TBL_DATA_FIELDS[[#This Row],[FIELD_ID]],INDIRECT(DB_TBL_DATA_FIELDS[[#This Row],[SHEET_REF_CALC]]&amp;"!A:B"),2,FALSE)&lt;1,"",VLOOKUP(DB_TBL_DATA_FIELDS[[#This Row],[FIELD_ID]],INDIRECT(DB_TBL_DATA_FIELDS[[#This Row],[SHEET_REF_CALC]]&amp;"!A:B"),2,FALSE)),"")</f>
        <v/>
      </c>
      <c r="I304" s="29" t="str">
        <f ca="1">IF(I305&lt;&gt;"",I305,"")</f>
        <v/>
      </c>
      <c r="J304" s="6" t="b">
        <f ca="1">(DB_TBL_DATA_FIELDS[[#This Row],[FIELD_VALUE_RAW]]="")</f>
        <v>1</v>
      </c>
      <c r="K304" s="6" t="s">
        <v>62</v>
      </c>
      <c r="L304" s="8" t="b">
        <f ca="1">AND(IF(DB_TBL_DATA_FIELDS[[#This Row],[FIELD_VALID_CUSTOM_LOGIC]]="",TRUE,DB_TBL_DATA_FIELDS[[#This Row],[FIELD_VALID_CUSTOM_LOGIC]]),DB_TBL_DATA_FIELDS[[#This Row],[RANGE_VALIDATION_PASSED_FLAG]])</f>
        <v>1</v>
      </c>
      <c r="M304"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04" s="8">
        <f ca="1">IF(DB_TBL_DATA_FIELDS[[#This Row],[SHEET_REF_CALC]]="","",IF(DB_TBL_DATA_FIELDS[[#This Row],[FIELD_EMPTY_FLAG]],IF(NOT(DB_TBL_DATA_FIELDS[[#This Row],[FIELD_REQ_FLAG]]),-1,1),IF(NOT(DB_TBL_DATA_FIELDS[[#This Row],[FIELD_VALID_FLAG]]),0,2)))</f>
        <v>1</v>
      </c>
      <c r="O304" s="8" t="str">
        <f ca="1">IFERROR(VLOOKUP(DB_TBL_DATA_FIELDS[[#This Row],[FIELD_STATUS_CODE]],DB_TBL_CONFIG_FIELDSTATUSCODES[#All],3,FALSE),"")</f>
        <v>Required</v>
      </c>
      <c r="P304" s="8" t="str">
        <f ca="1">IFERROR(VLOOKUP(DB_TBL_DATA_FIELDS[[#This Row],[FIELD_STATUS_CODE]],DB_TBL_CONFIG_FIELDSTATUSCODES[#All],4,FALSE),"")</f>
        <v>i</v>
      </c>
      <c r="Q304" s="8" t="b">
        <f>TRUE</f>
        <v>1</v>
      </c>
      <c r="R304" s="8" t="b">
        <v>0</v>
      </c>
      <c r="S304" s="4"/>
      <c r="T304" s="8">
        <f ca="1">IF(DB_TBL_DATA_FIELDS[[#This Row],[RANGE_VALIDATION_FLAG]]="Text",LEN(DB_TBL_DATA_FIELDS[[#This Row],[FIELD_VALUE_RAW]]),IFERROR(VALUE(DB_TBL_DATA_FIELDS[[#This Row],[FIELD_VALUE_RAW]]),-1))</f>
        <v>-1</v>
      </c>
      <c r="U304" s="7">
        <v>0</v>
      </c>
      <c r="V304" s="8">
        <v>999999999999</v>
      </c>
      <c r="W304" s="8" t="b">
        <f>IF(NOT(DB_TBL_DATA_FIELDS[[#This Row],[RANGE_VALIDATION_ON_FLAG]]),TRUE,
AND(DB_TBL_DATA_FIELDS[[#This Row],[RANGE_VALUE_LEN]]&gt;=DB_TBL_DATA_FIELDS[[#This Row],[RANGE_VALIDATION_MIN]],DB_TBL_DATA_FIELDS[[#This Row],[RANGE_VALUE_LEN]]&lt;=DB_TBL_DATA_FIELDS[[#This Row],[RANGE_VALIDATION_MAX]]))</f>
        <v>1</v>
      </c>
      <c r="X304" s="8">
        <v>1</v>
      </c>
      <c r="Y304" s="8">
        <f ca="1">IF(DB_TBL_DATA_FIELDS[[#This Row],[PCT_CALC_SHOW_STATUS_CODE]]=1,
DB_TBL_DATA_FIELDS[[#This Row],[FIELD_STATUS_CODE]],
IF(AND(DB_TBL_DATA_FIELDS[[#This Row],[PCT_CALC_SHOW_STATUS_CODE]]=2,DB_TBL_DATA_FIELDS[[#This Row],[FIELD_STATUS_CODE]]=0),
DB_TBL_DATA_FIELDS[[#This Row],[FIELD_STATUS_CODE]],
"")
)</f>
        <v>1</v>
      </c>
      <c r="Z304" s="8"/>
      <c r="AA304" s="11" t="s">
        <v>3298</v>
      </c>
      <c r="AB304" s="10" t="s">
        <v>3266</v>
      </c>
      <c r="AC304" s="8" t="s">
        <v>3267</v>
      </c>
    </row>
    <row r="305" spans="1:29" x14ac:dyDescent="0.2">
      <c r="A305" s="4" t="s">
        <v>65</v>
      </c>
      <c r="B305" s="4" t="s">
        <v>64</v>
      </c>
      <c r="C305" s="8" t="str">
        <f ca="1">IF($H$10&lt;&gt;"R",IF(DB_TBL_DATA_FIELDS[[#This Row],[SHEET_REF_OWNER]]&lt;&gt;"",DB_TBL_DATA_FIELDS[[#This Row],[SHEET_REF_OWNER]],""),IF(DB_TBL_DATA_FIELDS[[#This Row],[SHEET_REF_RENTAL]]&lt;&gt;"",DB_TBL_DATA_FIELDS[[#This Row],[SHEET_REF_RENTAL]],""))</f>
        <v>RentalApp</v>
      </c>
      <c r="D305" s="4" t="s">
        <v>3295</v>
      </c>
      <c r="E305" s="4" t="b">
        <v>1</v>
      </c>
      <c r="F305" s="25" t="b">
        <v>0</v>
      </c>
      <c r="G305" s="6" t="s">
        <v>3297</v>
      </c>
      <c r="H305" s="29" t="str">
        <f ca="1">IF(H304&lt;&gt;"",IFERROR(INDEX(INDIRECT(DB_TBL_DATA_FIELDS[[#This Row],[FIELD_ID]]),MATCH(H304,LOOKUP_COMMSTABILITY_CODES,0)),"{INVALID}"),"")</f>
        <v/>
      </c>
      <c r="I305" s="29" t="str">
        <f ca="1">IF(DB_TBL_DATA_FIELDS[[#This Row],[FIELD_EMPTY_FLAG]],"",DB_TBL_DATA_FIELDS[[#This Row],[FIELD_VALUE_RAW]]&lt;&gt;"{INVALID}")</f>
        <v/>
      </c>
      <c r="J305" s="6" t="b">
        <f ca="1">(DB_TBL_DATA_FIELDS[[#This Row],[FIELD_VALUE_RAW]]="")</f>
        <v>1</v>
      </c>
      <c r="K305" s="6" t="s">
        <v>11</v>
      </c>
      <c r="L305" s="8" t="b">
        <f ca="1">AND(IF(DB_TBL_DATA_FIELDS[[#This Row],[FIELD_VALID_CUSTOM_LOGIC]]="",TRUE,DB_TBL_DATA_FIELDS[[#This Row],[FIELD_VALID_CUSTOM_LOGIC]]),DB_TBL_DATA_FIELDS[[#This Row],[RANGE_VALIDATION_PASSED_FLAG]])</f>
        <v>1</v>
      </c>
      <c r="M305" s="1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05" s="8">
        <f ca="1">IF(DB_TBL_DATA_FIELDS[[#This Row],[SHEET_REF_CALC]]="","",IF(DB_TBL_DATA_FIELDS[[#This Row],[FIELD_EMPTY_FLAG]],IF(NOT(DB_TBL_DATA_FIELDS[[#This Row],[FIELD_REQ_FLAG]]),-1,1),IF(NOT(DB_TBL_DATA_FIELDS[[#This Row],[FIELD_VALID_FLAG]]),0,2)))</f>
        <v>-1</v>
      </c>
      <c r="O305" s="8" t="str">
        <f ca="1">IFERROR(VLOOKUP(DB_TBL_DATA_FIELDS[[#This Row],[FIELD_STATUS_CODE]],DB_TBL_CONFIG_FIELDSTATUSCODES[#All],3,FALSE),"")</f>
        <v>Optional</v>
      </c>
      <c r="P305" s="8" t="str">
        <f ca="1">IFERROR(VLOOKUP(DB_TBL_DATA_FIELDS[[#This Row],[FIELD_STATUS_CODE]],DB_TBL_CONFIG_FIELDSTATUSCODES[#All],4,FALSE),"")</f>
        <v xml:space="preserve"> </v>
      </c>
      <c r="Q305" s="8" t="b">
        <f>TRUE</f>
        <v>1</v>
      </c>
      <c r="R305" s="8" t="b">
        <v>0</v>
      </c>
      <c r="S305" s="4"/>
      <c r="T305" s="8">
        <f ca="1">IF(DB_TBL_DATA_FIELDS[[#This Row],[RANGE_VALIDATION_FLAG]]="Text",LEN(DB_TBL_DATA_FIELDS[[#This Row],[FIELD_VALUE_RAW]]),IFERROR(VALUE(DB_TBL_DATA_FIELDS[[#This Row],[FIELD_VALUE_RAW]]),-1))</f>
        <v>-1</v>
      </c>
      <c r="U305" s="7">
        <v>0</v>
      </c>
      <c r="V305" s="7">
        <v>32767</v>
      </c>
      <c r="W305" s="8" t="b">
        <f>IF(NOT(DB_TBL_DATA_FIELDS[[#This Row],[RANGE_VALIDATION_ON_FLAG]]),TRUE,
AND(DB_TBL_DATA_FIELDS[[#This Row],[RANGE_VALUE_LEN]]&gt;=DB_TBL_DATA_FIELDS[[#This Row],[RANGE_VALIDATION_MIN]],DB_TBL_DATA_FIELDS[[#This Row],[RANGE_VALUE_LEN]]&lt;=DB_TBL_DATA_FIELDS[[#This Row],[RANGE_VALIDATION_MAX]]))</f>
        <v>1</v>
      </c>
      <c r="X305" s="8">
        <v>0</v>
      </c>
      <c r="Y305" s="8" t="str">
        <f ca="1">IF(DB_TBL_DATA_FIELDS[[#This Row],[PCT_CALC_SHOW_STATUS_CODE]]=1,
DB_TBL_DATA_FIELDS[[#This Row],[FIELD_STATUS_CODE]],
IF(AND(DB_TBL_DATA_FIELDS[[#This Row],[PCT_CALC_SHOW_STATUS_CODE]]=2,DB_TBL_DATA_FIELDS[[#This Row],[FIELD_STATUS_CODE]]=0),
DB_TBL_DATA_FIELDS[[#This Row],[FIELD_STATUS_CODE]],
"")
)</f>
        <v/>
      </c>
      <c r="Z305" s="8"/>
      <c r="AA305" s="11" t="s">
        <v>3298</v>
      </c>
      <c r="AB305" s="10" t="s">
        <v>3266</v>
      </c>
      <c r="AC305" s="8" t="s">
        <v>3271</v>
      </c>
    </row>
    <row r="306" spans="1:29" ht="13.5" thickBot="1" x14ac:dyDescent="0.25">
      <c r="A306" s="67" t="s">
        <v>65</v>
      </c>
      <c r="B306" s="67" t="s">
        <v>64</v>
      </c>
      <c r="C306" s="68" t="str">
        <f ca="1">IF($H$10&lt;&gt;"R",IF(DB_TBL_DATA_FIELDS[[#This Row],[SHEET_REF_OWNER]]&lt;&gt;"",DB_TBL_DATA_FIELDS[[#This Row],[SHEET_REF_OWNER]],""),IF(DB_TBL_DATA_FIELDS[[#This Row],[SHEET_REF_RENTAL]]&lt;&gt;"",DB_TBL_DATA_FIELDS[[#This Row],[SHEET_REF_RENTAL]],""))</f>
        <v>RentalApp</v>
      </c>
      <c r="D306" s="67" t="s">
        <v>3606</v>
      </c>
      <c r="E306" s="67" t="b">
        <v>0</v>
      </c>
      <c r="F306" s="80" t="b">
        <f ca="1">AND(NOT(J305),H305=CS_DISPLACEMENT_A_RESULT_CODE_NODISPLACEMENT)</f>
        <v>0</v>
      </c>
      <c r="G306" s="72" t="s">
        <v>3607</v>
      </c>
      <c r="H306" s="73" t="str">
        <f ca="1">IFERROR(VLOOKUP(DB_TBL_DATA_FIELDS[[#This Row],[FIELD_ID]],INDIRECT(DB_TBL_DATA_FIELDS[[#This Row],[SHEET_REF_CALC]]&amp;"!A:B"),2,FALSE),"")</f>
        <v/>
      </c>
      <c r="I306" s="76" t="str">
        <f ca="1">IF(DB_TBL_DATA_FIELDS[[#This Row],[FIELD_EMPTY_FLAG]],"",AND(NOT(J305),H305=CS_DISPLACEMENT_A_RESULT_CODE_NODISPLACEMENT))</f>
        <v/>
      </c>
      <c r="J306" s="72" t="b">
        <f ca="1">(DB_TBL_DATA_FIELDS[[#This Row],[FIELD_VALUE_RAW]]="")</f>
        <v>1</v>
      </c>
      <c r="K306" s="72" t="s">
        <v>11</v>
      </c>
      <c r="L306" s="68" t="b">
        <f ca="1">AND(IF(DB_TBL_DATA_FIELDS[[#This Row],[FIELD_VALID_CUSTOM_LOGIC]]="",TRUE,DB_TBL_DATA_FIELDS[[#This Row],[FIELD_VALID_CUSTOM_LOGIC]]),DB_TBL_DATA_FIELDS[[#This Row],[RANGE_VALIDATION_PASSED_FLAG]])</f>
        <v>1</v>
      </c>
      <c r="M306" s="7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06" s="68">
        <f ca="1">IF(DB_TBL_DATA_FIELDS[[#This Row],[SHEET_REF_CALC]]="","",IF(DB_TBL_DATA_FIELDS[[#This Row],[FIELD_EMPTY_FLAG]],IF(NOT(DB_TBL_DATA_FIELDS[[#This Row],[FIELD_REQ_FLAG]]),-1,1),IF(NOT(DB_TBL_DATA_FIELDS[[#This Row],[FIELD_VALID_FLAG]]),0,2)))</f>
        <v>-1</v>
      </c>
      <c r="O306" s="68" t="str">
        <f ca="1">IFERROR(VLOOKUP(DB_TBL_DATA_FIELDS[[#This Row],[FIELD_STATUS_CODE]],DB_TBL_CONFIG_FIELDSTATUSCODES[#All],3,FALSE),"")</f>
        <v>Optional</v>
      </c>
      <c r="P306" s="68" t="str">
        <f ca="1">IFERROR(VLOOKUP(DB_TBL_DATA_FIELDS[[#This Row],[FIELD_STATUS_CODE]],DB_TBL_CONFIG_FIELDSTATUSCODES[#All],4,FALSE),"")</f>
        <v xml:space="preserve"> </v>
      </c>
      <c r="Q306" s="68" t="b">
        <f>TRUE</f>
        <v>1</v>
      </c>
      <c r="R306" s="68" t="b">
        <f>TRUE</f>
        <v>1</v>
      </c>
      <c r="S306" s="67" t="s">
        <v>11</v>
      </c>
      <c r="T306" s="68">
        <f ca="1">IF(DB_TBL_DATA_FIELDS[[#This Row],[RANGE_VALIDATION_FLAG]]="Text",LEN(DB_TBL_DATA_FIELDS[[#This Row],[FIELD_VALUE_RAW]]),IFERROR(VALUE(DB_TBL_DATA_FIELDS[[#This Row],[FIELD_VALUE_RAW]]),-1))</f>
        <v>0</v>
      </c>
      <c r="U306" s="68">
        <v>0</v>
      </c>
      <c r="V306" s="102">
        <f>CONFIG_CHAR_LIMIT_SMALL</f>
        <v>1000</v>
      </c>
      <c r="W306" s="68" t="b">
        <f ca="1">IF(NOT(DB_TBL_DATA_FIELDS[[#This Row],[RANGE_VALIDATION_ON_FLAG]]),TRUE,
AND(DB_TBL_DATA_FIELDS[[#This Row],[RANGE_VALUE_LEN]]&gt;=DB_TBL_DATA_FIELDS[[#This Row],[RANGE_VALIDATION_MIN]],DB_TBL_DATA_FIELDS[[#This Row],[RANGE_VALUE_LEN]]&lt;=DB_TBL_DATA_FIELDS[[#This Row],[RANGE_VALIDATION_MAX]]))</f>
        <v>1</v>
      </c>
      <c r="X306" s="68">
        <v>1</v>
      </c>
      <c r="Y306" s="68">
        <f ca="1">IF(DB_TBL_DATA_FIELDS[[#This Row],[PCT_CALC_SHOW_STATUS_CODE]]=1,
DB_TBL_DATA_FIELDS[[#This Row],[FIELD_STATUS_CODE]],
IF(AND(DB_TBL_DATA_FIELDS[[#This Row],[PCT_CALC_SHOW_STATUS_CODE]]=2,DB_TBL_DATA_FIELDS[[#This Row],[FIELD_STATUS_CODE]]=0),
DB_TBL_DATA_FIELDS[[#This Row],[FIELD_STATUS_CODE]],
"")
)</f>
        <v>-1</v>
      </c>
      <c r="Z306" s="68"/>
      <c r="AA306" s="73"/>
      <c r="AB306" s="73" t="s">
        <v>3266</v>
      </c>
      <c r="AC306" s="68" t="s">
        <v>3566</v>
      </c>
    </row>
    <row r="307" spans="1:29" ht="13.5" thickBot="1" x14ac:dyDescent="0.25">
      <c r="A307" s="67" t="s">
        <v>65</v>
      </c>
      <c r="B307" s="67" t="s">
        <v>64</v>
      </c>
      <c r="C307" s="68" t="str">
        <f ca="1">IF($H$10&lt;&gt;"R",IF(DB_TBL_DATA_FIELDS[[#This Row],[SHEET_REF_OWNER]]&lt;&gt;"",DB_TBL_DATA_FIELDS[[#This Row],[SHEET_REF_OWNER]],""),IF(DB_TBL_DATA_FIELDS[[#This Row],[SHEET_REF_RENTAL]]&lt;&gt;"",DB_TBL_DATA_FIELDS[[#This Row],[SHEET_REF_RENTAL]],""))</f>
        <v>RentalApp</v>
      </c>
      <c r="D307" s="67" t="s">
        <v>3745</v>
      </c>
      <c r="E307" s="67" t="b">
        <v>1</v>
      </c>
      <c r="F307" s="71" t="b">
        <v>1</v>
      </c>
      <c r="G307" s="72" t="s">
        <v>3746</v>
      </c>
      <c r="H307" s="73" t="str">
        <f ca="1">IFERROR(VLOOKUP(DB_TBL_DATA_FIELDS[[#This Row],[FIELD_ID]],INDIRECT(DB_TBL_DATA_FIELDS[[#This Row],[SHEET_REF_CALC]]&amp;"!A:B"),2,FALSE),"")</f>
        <v/>
      </c>
      <c r="I307" s="76" t="str">
        <f ca="1">IF(DB_TBL_DATA_FIELDS[[#This Row],[FIELD_EMPTY_FLAG]],"",DB_TBL_DATA_FIELDS[[#This Row],[FIELD_VALUE_RAW]]&lt;=DATA_TOTAL_UNITS)</f>
        <v/>
      </c>
      <c r="J307" s="72" t="b">
        <f ca="1">(DB_TBL_DATA_FIELDS[[#This Row],[FIELD_VALUE_RAW]]="")</f>
        <v>1</v>
      </c>
      <c r="K307" s="72" t="s">
        <v>62</v>
      </c>
      <c r="L307" s="68" t="b">
        <f ca="1">AND(IF(DB_TBL_DATA_FIELDS[[#This Row],[FIELD_VALID_CUSTOM_LOGIC]]="",TRUE,DB_TBL_DATA_FIELDS[[#This Row],[FIELD_VALID_CUSTOM_LOGIC]]),DB_TBL_DATA_FIELDS[[#This Row],[RANGE_VALIDATION_PASSED_FLAG]])</f>
        <v>0</v>
      </c>
      <c r="M307" s="7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07" s="68">
        <f ca="1">IF(DB_TBL_DATA_FIELDS[[#This Row],[SHEET_REF_CALC]]="","",IF(DB_TBL_DATA_FIELDS[[#This Row],[FIELD_EMPTY_FLAG]],IF(NOT(DB_TBL_DATA_FIELDS[[#This Row],[FIELD_REQ_FLAG]]),-1,1),IF(NOT(DB_TBL_DATA_FIELDS[[#This Row],[FIELD_VALID_FLAG]]),0,2)))</f>
        <v>1</v>
      </c>
      <c r="O307" s="68" t="str">
        <f ca="1">IFERROR(VLOOKUP(DB_TBL_DATA_FIELDS[[#This Row],[FIELD_STATUS_CODE]],DB_TBL_CONFIG_FIELDSTATUSCODES[#All],3,FALSE),"")</f>
        <v>Required</v>
      </c>
      <c r="P307" s="68" t="str">
        <f ca="1">IFERROR(VLOOKUP(DB_TBL_DATA_FIELDS[[#This Row],[FIELD_STATUS_CODE]],DB_TBL_CONFIG_FIELDSTATUSCODES[#All],4,FALSE),"")</f>
        <v>i</v>
      </c>
      <c r="Q307" s="68" t="b">
        <f>TRUE</f>
        <v>1</v>
      </c>
      <c r="R307" s="68" t="b">
        <f>TRUE</f>
        <v>1</v>
      </c>
      <c r="S307" s="67" t="s">
        <v>62</v>
      </c>
      <c r="T307" s="68">
        <f ca="1">IF(DB_TBL_DATA_FIELDS[[#This Row],[RANGE_VALIDATION_FLAG]]="Text",LEN(DB_TBL_DATA_FIELDS[[#This Row],[FIELD_VALUE_RAW]]),IFERROR(VALUE(DB_TBL_DATA_FIELDS[[#This Row],[FIELD_VALUE_RAW]]),-1))</f>
        <v>-1</v>
      </c>
      <c r="U307" s="68">
        <v>0</v>
      </c>
      <c r="V307" s="68">
        <v>999999999999</v>
      </c>
      <c r="W307" s="68" t="b">
        <f ca="1">IF(NOT(DB_TBL_DATA_FIELDS[[#This Row],[RANGE_VALIDATION_ON_FLAG]]),TRUE,
AND(DB_TBL_DATA_FIELDS[[#This Row],[RANGE_VALUE_LEN]]&gt;=DB_TBL_DATA_FIELDS[[#This Row],[RANGE_VALIDATION_MIN]],DB_TBL_DATA_FIELDS[[#This Row],[RANGE_VALUE_LEN]]&lt;=DB_TBL_DATA_FIELDS[[#This Row],[RANGE_VALIDATION_MAX]]))</f>
        <v>0</v>
      </c>
      <c r="X307" s="68">
        <v>1</v>
      </c>
      <c r="Y307" s="68">
        <f ca="1">IF(DB_TBL_DATA_FIELDS[[#This Row],[PCT_CALC_SHOW_STATUS_CODE]]=1,
DB_TBL_DATA_FIELDS[[#This Row],[FIELD_STATUS_CODE]],
IF(AND(DB_TBL_DATA_FIELDS[[#This Row],[PCT_CALC_SHOW_STATUS_CODE]]=2,DB_TBL_DATA_FIELDS[[#This Row],[FIELD_STATUS_CODE]]=0),
DB_TBL_DATA_FIELDS[[#This Row],[FIELD_STATUS_CODE]],
"")
)</f>
        <v>1</v>
      </c>
      <c r="Z307" s="409" t="str">
        <f ca="1">IF(DB_TBL_DATA_FIELDS[[#This Row],[FIELD_VALID_CUSTOM_LOGIC]]="","",IF(NOT(DB_TBL_DATA_FIELDS[[#This Row],[FIELD_VALID_CUSTOM_LOGIC]]),"Exceeds Total Project Units",""))</f>
        <v/>
      </c>
      <c r="AA307" s="73"/>
      <c r="AB307" s="73" t="s">
        <v>3747</v>
      </c>
      <c r="AC307" s="68" t="s">
        <v>3748</v>
      </c>
    </row>
    <row r="308" spans="1:29" x14ac:dyDescent="0.2">
      <c r="A308" s="4" t="s">
        <v>65</v>
      </c>
      <c r="B308" s="4" t="s">
        <v>64</v>
      </c>
      <c r="C308" s="8" t="str">
        <f ca="1">IF($H$10&lt;&gt;"R",IF(DB_TBL_DATA_FIELDS[[#This Row],[SHEET_REF_OWNER]]&lt;&gt;"",DB_TBL_DATA_FIELDS[[#This Row],[SHEET_REF_OWNER]],""),IF(DB_TBL_DATA_FIELDS[[#This Row],[SHEET_REF_RENTAL]]&lt;&gt;"",DB_TBL_DATA_FIELDS[[#This Row],[SHEET_REF_RENTAL]],""))</f>
        <v>RentalApp</v>
      </c>
      <c r="D308" s="1" t="s">
        <v>3769</v>
      </c>
      <c r="E308" s="1" t="b">
        <v>0</v>
      </c>
      <c r="F308" s="23" t="b">
        <v>0</v>
      </c>
      <c r="G308" s="423" t="s">
        <v>3772</v>
      </c>
      <c r="H308" s="418">
        <f ca="1">MIN(5,SUM(
IF(IFERROR(DONATED_UNITS/DATA_TOTAL_UNITS,0)&gt;=0.2,(DONATED_UNITS/DATA_TOTAL_UNITS)*5,0),
IF(IFERROR(FEDACQUIRED_UNITS/DATA_TOTAL_UNITS,0)&gt;=0.2,1,0),
IF(AND(DATA_UNDERFMV_UNITS_FMT_PCT&lt;&gt;"",IFERROR(UNDERFMV_UNITS/DATA_TOTAL_UNITS,0)&gt;=0.2),
(UNDERFMV_UNITS/DATA_TOTAL_UNITS)*
  (IF(AND(DATA_UNDERFMV_UNITS_FMT_PCT&lt;=0.05,DATA_UNDERFMV_UNITS_FMV_AMT&gt;1000),4,
  IF(AND(DATA_UNDERFMV_UNITS_FMT_PCT&gt; 0.05,DATA_UNDERFMV_UNITS_FMT_PCT&lt;=0.1),3,
  IF(AND(DATA_UNDERFMV_UNITS_FMT_PCT&gt; 0.1,DATA_UNDERFMV_UNITS_FMT_PCT&lt;=0.15),2,
  IF(AND(DATA_UNDERFMV_UNITS_FMT_PCT&gt; 0.15,DATA_UNDERFMV_UNITS_FMT_PCT&lt;=0.2),1,0))))),
0)))</f>
        <v>0</v>
      </c>
      <c r="I308" s="10"/>
      <c r="J308" s="2" t="b">
        <f ca="1">(DB_TBL_DATA_FIELDS[[#This Row],[FIELD_VALUE_RAW]]="")</f>
        <v>0</v>
      </c>
      <c r="K308" s="2" t="s">
        <v>62</v>
      </c>
      <c r="L308" s="7" t="b">
        <f>AND(IF(DB_TBL_DATA_FIELDS[[#This Row],[FIELD_VALID_CUSTOM_LOGIC]]="",TRUE,DB_TBL_DATA_FIELDS[[#This Row],[FIELD_VALID_CUSTOM_LOGIC]]),DB_TBL_DATA_FIELDS[[#This Row],[RANGE_VALIDATION_PASSED_FLAG]])</f>
        <v>1</v>
      </c>
      <c r="M308"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308" s="7">
        <f ca="1">IF(DB_TBL_DATA_FIELDS[[#This Row],[SHEET_REF_CALC]]="","",IF(DB_TBL_DATA_FIELDS[[#This Row],[FIELD_EMPTY_FLAG]],IF(NOT(DB_TBL_DATA_FIELDS[[#This Row],[FIELD_REQ_FLAG]]),-1,1),IF(NOT(DB_TBL_DATA_FIELDS[[#This Row],[FIELD_VALID_FLAG]]),0,2)))</f>
        <v>2</v>
      </c>
      <c r="O308" s="7" t="str">
        <f ca="1">IFERROR(VLOOKUP(DB_TBL_DATA_FIELDS[[#This Row],[FIELD_STATUS_CODE]],DB_TBL_CONFIG_FIELDSTATUSCODES[#All],3,FALSE),"")</f>
        <v>OK</v>
      </c>
      <c r="P308" s="7" t="str">
        <f ca="1">IFERROR(VLOOKUP(DB_TBL_DATA_FIELDS[[#This Row],[FIELD_STATUS_CODE]],DB_TBL_CONFIG_FIELDSTATUSCODES[#All],4,FALSE),"")</f>
        <v>a</v>
      </c>
      <c r="Q308" s="7" t="b">
        <f>TRUE</f>
        <v>1</v>
      </c>
      <c r="R308" s="7" t="b">
        <v>0</v>
      </c>
      <c r="T308" s="7">
        <f ca="1">IF(DB_TBL_DATA_FIELDS[[#This Row],[RANGE_VALIDATION_FLAG]]="Text",LEN(DB_TBL_DATA_FIELDS[[#This Row],[FIELD_VALUE_RAW]]),IFERROR(VALUE(DB_TBL_DATA_FIELDS[[#This Row],[FIELD_VALUE_RAW]]),-1))</f>
        <v>0</v>
      </c>
      <c r="U308" s="7">
        <v>0</v>
      </c>
      <c r="V308" s="7">
        <v>9999999999</v>
      </c>
      <c r="W308" s="7" t="b">
        <f>IF(NOT(DB_TBL_DATA_FIELDS[[#This Row],[RANGE_VALIDATION_ON_FLAG]]),TRUE,
AND(DB_TBL_DATA_FIELDS[[#This Row],[RANGE_VALUE_LEN]]&gt;=DB_TBL_DATA_FIELDS[[#This Row],[RANGE_VALIDATION_MIN]],DB_TBL_DATA_FIELDS[[#This Row],[RANGE_VALUE_LEN]]&lt;=DB_TBL_DATA_FIELDS[[#This Row],[RANGE_VALIDATION_MAX]]))</f>
        <v>1</v>
      </c>
      <c r="X308" s="7">
        <v>0</v>
      </c>
      <c r="Y308" s="7" t="str">
        <f ca="1">IF(DB_TBL_DATA_FIELDS[[#This Row],[PCT_CALC_SHOW_STATUS_CODE]]=1,
DB_TBL_DATA_FIELDS[[#This Row],[FIELD_STATUS_CODE]],
IF(AND(DB_TBL_DATA_FIELDS[[#This Row],[PCT_CALC_SHOW_STATUS_CODE]]=2,DB_TBL_DATA_FIELDS[[#This Row],[FIELD_STATUS_CODE]]=0),
DB_TBL_DATA_FIELDS[[#This Row],[FIELD_STATUS_CODE]],
"")
)</f>
        <v/>
      </c>
      <c r="Z308" s="7"/>
      <c r="AA308" s="10"/>
      <c r="AB308" s="10" t="s">
        <v>3765</v>
      </c>
      <c r="AC308" s="7" t="s">
        <v>3748</v>
      </c>
    </row>
    <row r="309" spans="1:29" x14ac:dyDescent="0.2">
      <c r="A309" s="4"/>
      <c r="B309" s="4" t="s">
        <v>64</v>
      </c>
      <c r="C309" s="8" t="str">
        <f ca="1">IF($H$10&lt;&gt;"R",IF(DB_TBL_DATA_FIELDS[[#This Row],[SHEET_REF_OWNER]]&lt;&gt;"",DB_TBL_DATA_FIELDS[[#This Row],[SHEET_REF_OWNER]],""),IF(DB_TBL_DATA_FIELDS[[#This Row],[SHEET_REF_RENTAL]]&lt;&gt;"",DB_TBL_DATA_FIELDS[[#This Row],[SHEET_REF_RENTAL]],""))</f>
        <v>RentalApp</v>
      </c>
      <c r="D309" s="1" t="s">
        <v>3768</v>
      </c>
      <c r="E309" s="1" t="b">
        <v>0</v>
      </c>
      <c r="F309" s="23" t="b">
        <v>0</v>
      </c>
      <c r="G309" s="2" t="s">
        <v>3773</v>
      </c>
      <c r="H309" s="418">
        <f ca="1">IF(DB_TBL_DATA_FIELDS[[#This Row],[SHEET_REF_CALC]]="",0,
SUM(
 IF(DATA_SCORE_NONPROFSPONS_RENTAL_OWNERSHIPPCT&gt;50,4, IF(DATA_SCORE_NONPROFSPONS_RENTAL_OWNERSHIPPCT&gt;30,2,0)),
 IF(OR(DATA_DEVELOPER_FEE_BRACKET='$DB.LOOKUP'!$AF$4,DATA_DEVELOPER_FEE_BRACKET='$DB.LOOKUP'!$AF$5),3,0)
)
)</f>
        <v>0</v>
      </c>
      <c r="I309" s="10"/>
      <c r="J309" s="2" t="b">
        <f ca="1">(DB_TBL_DATA_FIELDS[[#This Row],[FIELD_VALUE_RAW]]="")</f>
        <v>0</v>
      </c>
      <c r="K309" s="2" t="s">
        <v>62</v>
      </c>
      <c r="L309" s="7" t="b">
        <f>AND(IF(DB_TBL_DATA_FIELDS[[#This Row],[FIELD_VALID_CUSTOM_LOGIC]]="",TRUE,DB_TBL_DATA_FIELDS[[#This Row],[FIELD_VALID_CUSTOM_LOGIC]]),DB_TBL_DATA_FIELDS[[#This Row],[RANGE_VALIDATION_PASSED_FLAG]])</f>
        <v>1</v>
      </c>
      <c r="M309"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309" s="7">
        <f ca="1">IF(DB_TBL_DATA_FIELDS[[#This Row],[SHEET_REF_CALC]]="","",IF(DB_TBL_DATA_FIELDS[[#This Row],[FIELD_EMPTY_FLAG]],IF(NOT(DB_TBL_DATA_FIELDS[[#This Row],[FIELD_REQ_FLAG]]),-1,1),IF(NOT(DB_TBL_DATA_FIELDS[[#This Row],[FIELD_VALID_FLAG]]),0,2)))</f>
        <v>2</v>
      </c>
      <c r="O309" s="7" t="str">
        <f ca="1">IFERROR(VLOOKUP(DB_TBL_DATA_FIELDS[[#This Row],[FIELD_STATUS_CODE]],DB_TBL_CONFIG_FIELDSTATUSCODES[#All],3,FALSE),"")</f>
        <v>OK</v>
      </c>
      <c r="P309" s="7" t="str">
        <f ca="1">IFERROR(VLOOKUP(DB_TBL_DATA_FIELDS[[#This Row],[FIELD_STATUS_CODE]],DB_TBL_CONFIG_FIELDSTATUSCODES[#All],4,FALSE),"")</f>
        <v>a</v>
      </c>
      <c r="Q309" s="7" t="b">
        <f>TRUE</f>
        <v>1</v>
      </c>
      <c r="R309" s="7" t="b">
        <v>0</v>
      </c>
      <c r="T309" s="7">
        <f ca="1">IF(DB_TBL_DATA_FIELDS[[#This Row],[RANGE_VALIDATION_FLAG]]="Text",LEN(DB_TBL_DATA_FIELDS[[#This Row],[FIELD_VALUE_RAW]]),IFERROR(VALUE(DB_TBL_DATA_FIELDS[[#This Row],[FIELD_VALUE_RAW]]),-1))</f>
        <v>0</v>
      </c>
      <c r="U309" s="7">
        <v>0</v>
      </c>
      <c r="V309" s="7">
        <v>9999999999</v>
      </c>
      <c r="W309" s="7" t="b">
        <f>IF(NOT(DB_TBL_DATA_FIELDS[[#This Row],[RANGE_VALIDATION_ON_FLAG]]),TRUE,
AND(DB_TBL_DATA_FIELDS[[#This Row],[RANGE_VALUE_LEN]]&gt;=DB_TBL_DATA_FIELDS[[#This Row],[RANGE_VALIDATION_MIN]],DB_TBL_DATA_FIELDS[[#This Row],[RANGE_VALUE_LEN]]&lt;=DB_TBL_DATA_FIELDS[[#This Row],[RANGE_VALIDATION_MAX]]))</f>
        <v>1</v>
      </c>
      <c r="X309" s="7">
        <v>0</v>
      </c>
      <c r="Y309" s="7" t="str">
        <f ca="1">IF(DB_TBL_DATA_FIELDS[[#This Row],[PCT_CALC_SHOW_STATUS_CODE]]=1,
DB_TBL_DATA_FIELDS[[#This Row],[FIELD_STATUS_CODE]],
IF(AND(DB_TBL_DATA_FIELDS[[#This Row],[PCT_CALC_SHOW_STATUS_CODE]]=2,DB_TBL_DATA_FIELDS[[#This Row],[FIELD_STATUS_CODE]]=0),
DB_TBL_DATA_FIELDS[[#This Row],[FIELD_STATUS_CODE]],
"")
)</f>
        <v/>
      </c>
      <c r="Z309" s="7"/>
      <c r="AA309" s="10"/>
      <c r="AB309" s="10" t="s">
        <v>3765</v>
      </c>
      <c r="AC309" s="7" t="s">
        <v>3748</v>
      </c>
    </row>
    <row r="310" spans="1:29" x14ac:dyDescent="0.2">
      <c r="A310" s="4"/>
      <c r="B310" s="4" t="s">
        <v>64</v>
      </c>
      <c r="C310" s="8" t="str">
        <f ca="1">IF($H$10&lt;&gt;"R",IF(DB_TBL_DATA_FIELDS[[#This Row],[SHEET_REF_OWNER]]&lt;&gt;"",DB_TBL_DATA_FIELDS[[#This Row],[SHEET_REF_OWNER]],""),IF(DB_TBL_DATA_FIELDS[[#This Row],[SHEET_REF_RENTAL]]&lt;&gt;"",DB_TBL_DATA_FIELDS[[#This Row],[SHEET_REF_RENTAL]],""))</f>
        <v>RentalApp</v>
      </c>
      <c r="D310" s="1" t="s">
        <v>3776</v>
      </c>
      <c r="E310" s="1" t="b">
        <v>0</v>
      </c>
      <c r="F310" s="23" t="b">
        <v>0</v>
      </c>
      <c r="G310" s="2" t="s">
        <v>3777</v>
      </c>
      <c r="H310" s="418">
        <f ca="1">IF(DB_TBL_DATA_FIELDS[[#This Row],[SHEET_REF_CALC]]="","",
MAX(
IF(DATA_SPONSOR_OWNERSHIP_INTEREST_BRACKET='$DB.LOOKUP'!$AO$3,30,IF(DATA_SPONSOR_OWNERSHIP_INTEREST_BRACKET='$DB.LOOKUP'!$AO$4,50,IF(DATA_SPONSOR_OWNERSHIP_INTEREST_BRACKET='$DB.LOOKUP'!$AO$5,51,0))),
SUM(
IF(DATA_GP_ORG_TYPE="Nonprofit",DATA_GP_OWNERSHIP_INTEREST,0),
IF(DATA_GP2_ORG_TYPE="Nonprofit",DATA_GP2_OWNERSHIP_INTEREST,0),
IF(DATA_GP3_ORG_TYPE="Nonprofit",DATA_GP3_OWNERSHIP_INTEREST,0)
)
)
)</f>
        <v>0</v>
      </c>
      <c r="I310" s="10"/>
      <c r="J310" s="2" t="b">
        <f ca="1">(DB_TBL_DATA_FIELDS[[#This Row],[FIELD_VALUE_RAW]]="")</f>
        <v>0</v>
      </c>
      <c r="K310" s="2" t="s">
        <v>62</v>
      </c>
      <c r="L310" s="7" t="b">
        <f>AND(IF(DB_TBL_DATA_FIELDS[[#This Row],[FIELD_VALID_CUSTOM_LOGIC]]="",TRUE,DB_TBL_DATA_FIELDS[[#This Row],[FIELD_VALID_CUSTOM_LOGIC]]),DB_TBL_DATA_FIELDS[[#This Row],[RANGE_VALIDATION_PASSED_FLAG]])</f>
        <v>1</v>
      </c>
      <c r="M310"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310" s="7">
        <f ca="1">IF(DB_TBL_DATA_FIELDS[[#This Row],[SHEET_REF_CALC]]="","",IF(DB_TBL_DATA_FIELDS[[#This Row],[FIELD_EMPTY_FLAG]],IF(NOT(DB_TBL_DATA_FIELDS[[#This Row],[FIELD_REQ_FLAG]]),-1,1),IF(NOT(DB_TBL_DATA_FIELDS[[#This Row],[FIELD_VALID_FLAG]]),0,2)))</f>
        <v>2</v>
      </c>
      <c r="O310" s="7" t="str">
        <f ca="1">IFERROR(VLOOKUP(DB_TBL_DATA_FIELDS[[#This Row],[FIELD_STATUS_CODE]],DB_TBL_CONFIG_FIELDSTATUSCODES[#All],3,FALSE),"")</f>
        <v>OK</v>
      </c>
      <c r="P310" s="7" t="str">
        <f ca="1">IFERROR(VLOOKUP(DB_TBL_DATA_FIELDS[[#This Row],[FIELD_STATUS_CODE]],DB_TBL_CONFIG_FIELDSTATUSCODES[#All],4,FALSE),"")</f>
        <v>a</v>
      </c>
      <c r="Q310" s="7" t="b">
        <f>TRUE</f>
        <v>1</v>
      </c>
      <c r="R310" s="7" t="b">
        <v>0</v>
      </c>
      <c r="T310" s="7">
        <f ca="1">IF(DB_TBL_DATA_FIELDS[[#This Row],[RANGE_VALIDATION_FLAG]]="Text",LEN(DB_TBL_DATA_FIELDS[[#This Row],[FIELD_VALUE_RAW]]),IFERROR(VALUE(DB_TBL_DATA_FIELDS[[#This Row],[FIELD_VALUE_RAW]]),-1))</f>
        <v>0</v>
      </c>
      <c r="U310" s="7">
        <v>0</v>
      </c>
      <c r="V310" s="7">
        <v>9999999999</v>
      </c>
      <c r="W310" s="7" t="b">
        <f>IF(NOT(DB_TBL_DATA_FIELDS[[#This Row],[RANGE_VALIDATION_ON_FLAG]]),TRUE,
AND(DB_TBL_DATA_FIELDS[[#This Row],[RANGE_VALUE_LEN]]&gt;=DB_TBL_DATA_FIELDS[[#This Row],[RANGE_VALIDATION_MIN]],DB_TBL_DATA_FIELDS[[#This Row],[RANGE_VALUE_LEN]]&lt;=DB_TBL_DATA_FIELDS[[#This Row],[RANGE_VALIDATION_MAX]]))</f>
        <v>1</v>
      </c>
      <c r="X310" s="7">
        <v>0</v>
      </c>
      <c r="Y310" s="7" t="str">
        <f ca="1">IF(DB_TBL_DATA_FIELDS[[#This Row],[PCT_CALC_SHOW_STATUS_CODE]]=1,
DB_TBL_DATA_FIELDS[[#This Row],[FIELD_STATUS_CODE]],
IF(AND(DB_TBL_DATA_FIELDS[[#This Row],[PCT_CALC_SHOW_STATUS_CODE]]=2,DB_TBL_DATA_FIELDS[[#This Row],[FIELD_STATUS_CODE]]=0),
DB_TBL_DATA_FIELDS[[#This Row],[FIELD_STATUS_CODE]],
"")
)</f>
        <v/>
      </c>
      <c r="Z310" s="7"/>
      <c r="AA310" s="10"/>
      <c r="AB310" s="10" t="s">
        <v>3765</v>
      </c>
      <c r="AC310" s="7" t="s">
        <v>3748</v>
      </c>
    </row>
    <row r="311" spans="1:29" x14ac:dyDescent="0.2">
      <c r="A311" s="4" t="s">
        <v>65</v>
      </c>
      <c r="B311" s="4"/>
      <c r="C311" s="8" t="str">
        <f ca="1">IF($H$10&lt;&gt;"R",IF(DB_TBL_DATA_FIELDS[[#This Row],[SHEET_REF_OWNER]]&lt;&gt;"",DB_TBL_DATA_FIELDS[[#This Row],[SHEET_REF_OWNER]],""),IF(DB_TBL_DATA_FIELDS[[#This Row],[SHEET_REF_RENTAL]]&lt;&gt;"",DB_TBL_DATA_FIELDS[[#This Row],[SHEET_REF_RENTAL]],""))</f>
        <v/>
      </c>
      <c r="D311" s="1" t="s">
        <v>3775</v>
      </c>
      <c r="E311" s="1" t="b">
        <v>0</v>
      </c>
      <c r="F311" s="23" t="b">
        <v>0</v>
      </c>
      <c r="G311" s="2" t="s">
        <v>3774</v>
      </c>
      <c r="H311" s="418">
        <f ca="1">IF(DB_TBL_DATA_FIELDS[[#This Row],[SHEET_REF_CALC]]="",0,
SUM(
 MIN(4,SUM(
IF(DATA_SPONSOR_PROJECT_PLANNING_FLG=TRUE,1,0),
IF(DATA_SPONSOR_PROJECT_DEV_FLG=TRUE,1,0),
IF(DATA_SPONSOR_CONSTRUCTION_FLG=TRUE,1,0),
IF(DATA_SPONSOR_PROJECT_FINANCING_OWNER_FLG=TRUE,1,0),
IF(DATA_SPONSOR_PROJECT_SELFHELPHSEHLDS_FLG=TRUE,1,0),
IF(DATA_SPONSOR_PREPURCH_CNSLING_FLG=TRUE,1,0),
IF(DATA_SPONSOR_POSTPURCH_CNSLING_FLG=TRUE,1,0),
IF(DATA_SPONSOR_QUALIFYBUYERS_FLG=TRUE,1,0)
)),
 IF(OR(DATA_DEVELOPER_FEE_BRACKET='$DB.LOOKUP'!$AF$4,DATA_DEVELOPER_FEE_BRACKET='$DB.LOOKUP'!$AF$5),3,0)
)
)</f>
        <v>0</v>
      </c>
      <c r="I311" s="10"/>
      <c r="J311" s="2" t="b">
        <f ca="1">(DB_TBL_DATA_FIELDS[[#This Row],[FIELD_VALUE_RAW]]="")</f>
        <v>0</v>
      </c>
      <c r="K311" s="2" t="s">
        <v>62</v>
      </c>
      <c r="L311" s="7" t="b">
        <f>AND(IF(DB_TBL_DATA_FIELDS[[#This Row],[FIELD_VALID_CUSTOM_LOGIC]]="",TRUE,DB_TBL_DATA_FIELDS[[#This Row],[FIELD_VALID_CUSTOM_LOGIC]]),DB_TBL_DATA_FIELDS[[#This Row],[RANGE_VALIDATION_PASSED_FLAG]])</f>
        <v>1</v>
      </c>
      <c r="M311"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311" s="7" t="str">
        <f ca="1">IF(DB_TBL_DATA_FIELDS[[#This Row],[SHEET_REF_CALC]]="","",IF(DB_TBL_DATA_FIELDS[[#This Row],[FIELD_EMPTY_FLAG]],IF(NOT(DB_TBL_DATA_FIELDS[[#This Row],[FIELD_REQ_FLAG]]),-1,1),IF(NOT(DB_TBL_DATA_FIELDS[[#This Row],[FIELD_VALID_FLAG]]),0,2)))</f>
        <v/>
      </c>
      <c r="O311" s="7" t="str">
        <f ca="1">IFERROR(VLOOKUP(DB_TBL_DATA_FIELDS[[#This Row],[FIELD_STATUS_CODE]],DB_TBL_CONFIG_FIELDSTATUSCODES[#All],3,FALSE),"")</f>
        <v/>
      </c>
      <c r="P311" s="7" t="str">
        <f ca="1">IFERROR(VLOOKUP(DB_TBL_DATA_FIELDS[[#This Row],[FIELD_STATUS_CODE]],DB_TBL_CONFIG_FIELDSTATUSCODES[#All],4,FALSE),"")</f>
        <v/>
      </c>
      <c r="Q311" s="7" t="b">
        <f>TRUE</f>
        <v>1</v>
      </c>
      <c r="R311" s="7" t="b">
        <v>0</v>
      </c>
      <c r="T311" s="7">
        <f ca="1">IF(DB_TBL_DATA_FIELDS[[#This Row],[RANGE_VALIDATION_FLAG]]="Text",LEN(DB_TBL_DATA_FIELDS[[#This Row],[FIELD_VALUE_RAW]]),IFERROR(VALUE(DB_TBL_DATA_FIELDS[[#This Row],[FIELD_VALUE_RAW]]),-1))</f>
        <v>0</v>
      </c>
      <c r="U311" s="7">
        <v>0</v>
      </c>
      <c r="V311" s="7">
        <v>9999999999</v>
      </c>
      <c r="W311" s="7" t="b">
        <f>IF(NOT(DB_TBL_DATA_FIELDS[[#This Row],[RANGE_VALIDATION_ON_FLAG]]),TRUE,
AND(DB_TBL_DATA_FIELDS[[#This Row],[RANGE_VALUE_LEN]]&gt;=DB_TBL_DATA_FIELDS[[#This Row],[RANGE_VALIDATION_MIN]],DB_TBL_DATA_FIELDS[[#This Row],[RANGE_VALUE_LEN]]&lt;=DB_TBL_DATA_FIELDS[[#This Row],[RANGE_VALIDATION_MAX]]))</f>
        <v>1</v>
      </c>
      <c r="X311" s="7">
        <v>0</v>
      </c>
      <c r="Y311" s="7" t="str">
        <f ca="1">IF(DB_TBL_DATA_FIELDS[[#This Row],[PCT_CALC_SHOW_STATUS_CODE]]=1,
DB_TBL_DATA_FIELDS[[#This Row],[FIELD_STATUS_CODE]],
IF(AND(DB_TBL_DATA_FIELDS[[#This Row],[PCT_CALC_SHOW_STATUS_CODE]]=2,DB_TBL_DATA_FIELDS[[#This Row],[FIELD_STATUS_CODE]]=0),
DB_TBL_DATA_FIELDS[[#This Row],[FIELD_STATUS_CODE]],
"")
)</f>
        <v/>
      </c>
      <c r="Z311" s="7"/>
      <c r="AA311" s="10"/>
      <c r="AB311" s="10" t="s">
        <v>3765</v>
      </c>
      <c r="AC311" s="7" t="s">
        <v>3748</v>
      </c>
    </row>
    <row r="312" spans="1:29" x14ac:dyDescent="0.2">
      <c r="A312" s="4" t="s">
        <v>65</v>
      </c>
      <c r="B312" s="4" t="s">
        <v>64</v>
      </c>
      <c r="C312" s="8" t="str">
        <f ca="1">IF($H$10&lt;&gt;"R",IF(DB_TBL_DATA_FIELDS[[#This Row],[SHEET_REF_OWNER]]&lt;&gt;"",DB_TBL_DATA_FIELDS[[#This Row],[SHEET_REF_OWNER]],""),IF(DB_TBL_DATA_FIELDS[[#This Row],[SHEET_REF_RENTAL]]&lt;&gt;"",DB_TBL_DATA_FIELDS[[#This Row],[SHEET_REF_RENTAL]],""))</f>
        <v>RentalApp</v>
      </c>
      <c r="D312" s="1" t="s">
        <v>3770</v>
      </c>
      <c r="E312" s="1" t="b">
        <v>0</v>
      </c>
      <c r="F312" s="23" t="b">
        <v>0</v>
      </c>
      <c r="G312" s="423" t="s">
        <v>3771</v>
      </c>
      <c r="H312" s="418">
        <f ca="1">IF(AND(SPONSOR_CERTIFICATION_INDICATOR=TRUE,DATA_SPONSOR_ORG_TYPE_CATEGORY&lt;&gt;'$DB.LOOKUP'!$M$11),
MIN(7,SUM(H309,H311)),
0)</f>
        <v>0</v>
      </c>
      <c r="I312" s="10"/>
      <c r="J312" s="2" t="b">
        <f ca="1">(DB_TBL_DATA_FIELDS[[#This Row],[FIELD_VALUE_RAW]]="")</f>
        <v>0</v>
      </c>
      <c r="K312" s="2" t="s">
        <v>62</v>
      </c>
      <c r="L312" s="7" t="b">
        <f>AND(IF(DB_TBL_DATA_FIELDS[[#This Row],[FIELD_VALID_CUSTOM_LOGIC]]="",TRUE,DB_TBL_DATA_FIELDS[[#This Row],[FIELD_VALID_CUSTOM_LOGIC]]),DB_TBL_DATA_FIELDS[[#This Row],[RANGE_VALIDATION_PASSED_FLAG]])</f>
        <v>1</v>
      </c>
      <c r="M312"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312" s="7">
        <f ca="1">IF(DB_TBL_DATA_FIELDS[[#This Row],[SHEET_REF_CALC]]="","",IF(DB_TBL_DATA_FIELDS[[#This Row],[FIELD_EMPTY_FLAG]],IF(NOT(DB_TBL_DATA_FIELDS[[#This Row],[FIELD_REQ_FLAG]]),-1,1),IF(NOT(DB_TBL_DATA_FIELDS[[#This Row],[FIELD_VALID_FLAG]]),0,2)))</f>
        <v>2</v>
      </c>
      <c r="O312" s="7" t="str">
        <f ca="1">IFERROR(VLOOKUP(DB_TBL_DATA_FIELDS[[#This Row],[FIELD_STATUS_CODE]],DB_TBL_CONFIG_FIELDSTATUSCODES[#All],3,FALSE),"")</f>
        <v>OK</v>
      </c>
      <c r="P312" s="7" t="str">
        <f ca="1">IFERROR(VLOOKUP(DB_TBL_DATA_FIELDS[[#This Row],[FIELD_STATUS_CODE]],DB_TBL_CONFIG_FIELDSTATUSCODES[#All],4,FALSE),"")</f>
        <v>a</v>
      </c>
      <c r="Q312" s="7" t="b">
        <f>TRUE</f>
        <v>1</v>
      </c>
      <c r="R312" s="7" t="b">
        <v>0</v>
      </c>
      <c r="T312" s="7">
        <f ca="1">IF(DB_TBL_DATA_FIELDS[[#This Row],[RANGE_VALIDATION_FLAG]]="Text",LEN(DB_TBL_DATA_FIELDS[[#This Row],[FIELD_VALUE_RAW]]),IFERROR(VALUE(DB_TBL_DATA_FIELDS[[#This Row],[FIELD_VALUE_RAW]]),-1))</f>
        <v>0</v>
      </c>
      <c r="U312" s="7">
        <v>0</v>
      </c>
      <c r="V312" s="7">
        <v>9999999999</v>
      </c>
      <c r="W312" s="7" t="b">
        <f>IF(NOT(DB_TBL_DATA_FIELDS[[#This Row],[RANGE_VALIDATION_ON_FLAG]]),TRUE,
AND(DB_TBL_DATA_FIELDS[[#This Row],[RANGE_VALUE_LEN]]&gt;=DB_TBL_DATA_FIELDS[[#This Row],[RANGE_VALIDATION_MIN]],DB_TBL_DATA_FIELDS[[#This Row],[RANGE_VALUE_LEN]]&lt;=DB_TBL_DATA_FIELDS[[#This Row],[RANGE_VALIDATION_MAX]]))</f>
        <v>1</v>
      </c>
      <c r="X312" s="7">
        <v>0</v>
      </c>
      <c r="Y312" s="7" t="str">
        <f ca="1">IF(DB_TBL_DATA_FIELDS[[#This Row],[PCT_CALC_SHOW_STATUS_CODE]]=1,
DB_TBL_DATA_FIELDS[[#This Row],[FIELD_STATUS_CODE]],
IF(AND(DB_TBL_DATA_FIELDS[[#This Row],[PCT_CALC_SHOW_STATUS_CODE]]=2,DB_TBL_DATA_FIELDS[[#This Row],[FIELD_STATUS_CODE]]=0),
DB_TBL_DATA_FIELDS[[#This Row],[FIELD_STATUS_CODE]],
"")
)</f>
        <v/>
      </c>
      <c r="Z312" s="7"/>
      <c r="AA312" s="10"/>
      <c r="AB312" s="10" t="s">
        <v>3765</v>
      </c>
      <c r="AC312" s="7" t="s">
        <v>3748</v>
      </c>
    </row>
    <row r="313" spans="1:29" x14ac:dyDescent="0.2">
      <c r="A313" s="4" t="s">
        <v>65</v>
      </c>
      <c r="B313" s="4"/>
      <c r="C313" s="8" t="str">
        <f ca="1">IF($H$10&lt;&gt;"R",IF(DB_TBL_DATA_FIELDS[[#This Row],[SHEET_REF_OWNER]]&lt;&gt;"",DB_TBL_DATA_FIELDS[[#This Row],[SHEET_REF_OWNER]],""),IF(DB_TBL_DATA_FIELDS[[#This Row],[SHEET_REF_RENTAL]]&lt;&gt;"",DB_TBL_DATA_FIELDS[[#This Row],[SHEET_REF_RENTAL]],""))</f>
        <v/>
      </c>
      <c r="D313" s="1" t="s">
        <v>3778</v>
      </c>
      <c r="E313" s="1" t="b">
        <v>0</v>
      </c>
      <c r="F313" s="23" t="b">
        <v>0</v>
      </c>
      <c r="G313" s="423" t="s">
        <v>3779</v>
      </c>
      <c r="H313" s="418">
        <f ca="1">IF(DB_TBL_DATA_FIELDS[[#This Row],[SHEET_REF_CALC]]&lt;&gt;"",
IF(IFERROR(DATA_FIRSTTIME_HOMEBUYER_UNITS/DATA_TOTAL_UNITS,0)&gt;=0.2,IFERROR(DATA_FIRSTTIME_HOMEBUYER_UNITS/DATA_TOTAL_UNITS,0)*6,0),
0)</f>
        <v>0</v>
      </c>
      <c r="I313" s="10"/>
      <c r="J313" s="2" t="b">
        <f ca="1">(DB_TBL_DATA_FIELDS[[#This Row],[FIELD_VALUE_RAW]]="")</f>
        <v>0</v>
      </c>
      <c r="K313" s="2" t="s">
        <v>62</v>
      </c>
      <c r="L313" s="7" t="b">
        <f>AND(IF(DB_TBL_DATA_FIELDS[[#This Row],[FIELD_VALID_CUSTOM_LOGIC]]="",TRUE,DB_TBL_DATA_FIELDS[[#This Row],[FIELD_VALID_CUSTOM_LOGIC]]),DB_TBL_DATA_FIELDS[[#This Row],[RANGE_VALIDATION_PASSED_FLAG]])</f>
        <v>1</v>
      </c>
      <c r="M313"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313" s="7" t="str">
        <f ca="1">IF(DB_TBL_DATA_FIELDS[[#This Row],[SHEET_REF_CALC]]="","",IF(DB_TBL_DATA_FIELDS[[#This Row],[FIELD_EMPTY_FLAG]],IF(NOT(DB_TBL_DATA_FIELDS[[#This Row],[FIELD_REQ_FLAG]]),-1,1),IF(NOT(DB_TBL_DATA_FIELDS[[#This Row],[FIELD_VALID_FLAG]]),0,2)))</f>
        <v/>
      </c>
      <c r="O313" s="7" t="str">
        <f ca="1">IFERROR(VLOOKUP(DB_TBL_DATA_FIELDS[[#This Row],[FIELD_STATUS_CODE]],DB_TBL_CONFIG_FIELDSTATUSCODES[#All],3,FALSE),"")</f>
        <v/>
      </c>
      <c r="P313" s="7" t="str">
        <f ca="1">IFERROR(VLOOKUP(DB_TBL_DATA_FIELDS[[#This Row],[FIELD_STATUS_CODE]],DB_TBL_CONFIG_FIELDSTATUSCODES[#All],4,FALSE),"")</f>
        <v/>
      </c>
      <c r="Q313" s="7" t="b">
        <f>TRUE</f>
        <v>1</v>
      </c>
      <c r="R313" s="7" t="b">
        <v>0</v>
      </c>
      <c r="T313" s="7">
        <f ca="1">IF(DB_TBL_DATA_FIELDS[[#This Row],[RANGE_VALIDATION_FLAG]]="Text",LEN(DB_TBL_DATA_FIELDS[[#This Row],[FIELD_VALUE_RAW]]),IFERROR(VALUE(DB_TBL_DATA_FIELDS[[#This Row],[FIELD_VALUE_RAW]]),-1))</f>
        <v>0</v>
      </c>
      <c r="U313" s="7">
        <v>0</v>
      </c>
      <c r="V313" s="7">
        <v>9999999999</v>
      </c>
      <c r="W313" s="7" t="b">
        <f>IF(NOT(DB_TBL_DATA_FIELDS[[#This Row],[RANGE_VALIDATION_ON_FLAG]]),TRUE,
AND(DB_TBL_DATA_FIELDS[[#This Row],[RANGE_VALUE_LEN]]&gt;=DB_TBL_DATA_FIELDS[[#This Row],[RANGE_VALIDATION_MIN]],DB_TBL_DATA_FIELDS[[#This Row],[RANGE_VALUE_LEN]]&lt;=DB_TBL_DATA_FIELDS[[#This Row],[RANGE_VALIDATION_MAX]]))</f>
        <v>1</v>
      </c>
      <c r="X313" s="7">
        <v>0</v>
      </c>
      <c r="Y313" s="7" t="str">
        <f ca="1">IF(DB_TBL_DATA_FIELDS[[#This Row],[PCT_CALC_SHOW_STATUS_CODE]]=1,
DB_TBL_DATA_FIELDS[[#This Row],[FIELD_STATUS_CODE]],
IF(AND(DB_TBL_DATA_FIELDS[[#This Row],[PCT_CALC_SHOW_STATUS_CODE]]=2,DB_TBL_DATA_FIELDS[[#This Row],[FIELD_STATUS_CODE]]=0),
DB_TBL_DATA_FIELDS[[#This Row],[FIELD_STATUS_CODE]],
"")
)</f>
        <v/>
      </c>
      <c r="Z313" s="7"/>
      <c r="AA313" s="10"/>
      <c r="AB313" s="10" t="s">
        <v>3765</v>
      </c>
      <c r="AC313" s="7" t="s">
        <v>3748</v>
      </c>
    </row>
    <row r="314" spans="1:29" x14ac:dyDescent="0.2">
      <c r="A314" s="4" t="s">
        <v>65</v>
      </c>
      <c r="B314" s="4" t="s">
        <v>64</v>
      </c>
      <c r="C314" s="8" t="str">
        <f ca="1">IF($H$10&lt;&gt;"R",IF(DB_TBL_DATA_FIELDS[[#This Row],[SHEET_REF_OWNER]]&lt;&gt;"",DB_TBL_DATA_FIELDS[[#This Row],[SHEET_REF_OWNER]],""),IF(DB_TBL_DATA_FIELDS[[#This Row],[SHEET_REF_RENTAL]]&lt;&gt;"",DB_TBL_DATA_FIELDS[[#This Row],[SHEET_REF_RENTAL]],""))</f>
        <v>RentalApp</v>
      </c>
      <c r="D314" s="1" t="s">
        <v>3780</v>
      </c>
      <c r="E314" s="1" t="b">
        <v>0</v>
      </c>
      <c r="F314" s="23" t="b">
        <v>0</v>
      </c>
      <c r="G314" s="2" t="s">
        <v>3781</v>
      </c>
      <c r="H314" s="418">
        <f ca="1">IF(DATA_TOTAL_UNITS&lt;&gt;"",DATA_TOTAL_UNITS-IF(DATA_MANAGER_UNITS&lt;&gt;"",DATA_MANAGER_UNITS,0),0)</f>
        <v>0</v>
      </c>
      <c r="I314" s="10"/>
      <c r="J314" s="2" t="b">
        <f ca="1">(DB_TBL_DATA_FIELDS[[#This Row],[FIELD_VALUE_RAW]]="")</f>
        <v>0</v>
      </c>
      <c r="K314" s="2" t="s">
        <v>62</v>
      </c>
      <c r="L314" s="7" t="b">
        <f>AND(IF(DB_TBL_DATA_FIELDS[[#This Row],[FIELD_VALID_CUSTOM_LOGIC]]="",TRUE,DB_TBL_DATA_FIELDS[[#This Row],[FIELD_VALID_CUSTOM_LOGIC]]),DB_TBL_DATA_FIELDS[[#This Row],[RANGE_VALIDATION_PASSED_FLAG]])</f>
        <v>1</v>
      </c>
      <c r="M314"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314" s="7">
        <f ca="1">IF(DB_TBL_DATA_FIELDS[[#This Row],[SHEET_REF_CALC]]="","",IF(DB_TBL_DATA_FIELDS[[#This Row],[FIELD_EMPTY_FLAG]],IF(NOT(DB_TBL_DATA_FIELDS[[#This Row],[FIELD_REQ_FLAG]]),-1,1),IF(NOT(DB_TBL_DATA_FIELDS[[#This Row],[FIELD_VALID_FLAG]]),0,2)))</f>
        <v>2</v>
      </c>
      <c r="O314" s="7" t="str">
        <f ca="1">IFERROR(VLOOKUP(DB_TBL_DATA_FIELDS[[#This Row],[FIELD_STATUS_CODE]],DB_TBL_CONFIG_FIELDSTATUSCODES[#All],3,FALSE),"")</f>
        <v>OK</v>
      </c>
      <c r="P314" s="7" t="str">
        <f ca="1">IFERROR(VLOOKUP(DB_TBL_DATA_FIELDS[[#This Row],[FIELD_STATUS_CODE]],DB_TBL_CONFIG_FIELDSTATUSCODES[#All],4,FALSE),"")</f>
        <v>a</v>
      </c>
      <c r="Q314" s="7" t="b">
        <f>TRUE</f>
        <v>1</v>
      </c>
      <c r="R314" s="7" t="b">
        <v>0</v>
      </c>
      <c r="T314" s="7">
        <f ca="1">IF(DB_TBL_DATA_FIELDS[[#This Row],[RANGE_VALIDATION_FLAG]]="Text",LEN(DB_TBL_DATA_FIELDS[[#This Row],[FIELD_VALUE_RAW]]),IFERROR(VALUE(DB_TBL_DATA_FIELDS[[#This Row],[FIELD_VALUE_RAW]]),-1))</f>
        <v>0</v>
      </c>
      <c r="U314" s="7">
        <v>0</v>
      </c>
      <c r="V314" s="7">
        <v>9999999999</v>
      </c>
      <c r="W314" s="7" t="b">
        <f>IF(NOT(DB_TBL_DATA_FIELDS[[#This Row],[RANGE_VALIDATION_ON_FLAG]]),TRUE,
AND(DB_TBL_DATA_FIELDS[[#This Row],[RANGE_VALUE_LEN]]&gt;=DB_TBL_DATA_FIELDS[[#This Row],[RANGE_VALIDATION_MIN]],DB_TBL_DATA_FIELDS[[#This Row],[RANGE_VALUE_LEN]]&lt;=DB_TBL_DATA_FIELDS[[#This Row],[RANGE_VALIDATION_MAX]]))</f>
        <v>1</v>
      </c>
      <c r="X314" s="7">
        <v>0</v>
      </c>
      <c r="Y314" s="7" t="str">
        <f ca="1">IF(DB_TBL_DATA_FIELDS[[#This Row],[PCT_CALC_SHOW_STATUS_CODE]]=1,
DB_TBL_DATA_FIELDS[[#This Row],[FIELD_STATUS_CODE]],
IF(AND(DB_TBL_DATA_FIELDS[[#This Row],[PCT_CALC_SHOW_STATUS_CODE]]=2,DB_TBL_DATA_FIELDS[[#This Row],[FIELD_STATUS_CODE]]=0),
DB_TBL_DATA_FIELDS[[#This Row],[FIELD_STATUS_CODE]],
"")
)</f>
        <v/>
      </c>
      <c r="Z314" s="7"/>
      <c r="AA314" s="10"/>
      <c r="AB314" s="10" t="s">
        <v>3765</v>
      </c>
      <c r="AC314" s="7" t="s">
        <v>3748</v>
      </c>
    </row>
    <row r="315" spans="1:29" x14ac:dyDescent="0.2">
      <c r="A315" s="4" t="s">
        <v>65</v>
      </c>
      <c r="B315" s="4" t="s">
        <v>64</v>
      </c>
      <c r="C315" s="8" t="str">
        <f ca="1">IF($H$10&lt;&gt;"R",IF(DB_TBL_DATA_FIELDS[[#This Row],[SHEET_REF_OWNER]]&lt;&gt;"",DB_TBL_DATA_FIELDS[[#This Row],[SHEET_REF_OWNER]],""),IF(DB_TBL_DATA_FIELDS[[#This Row],[SHEET_REF_RENTAL]]&lt;&gt;"",DB_TBL_DATA_FIELDS[[#This Row],[SHEET_REF_RENTAL]],""))</f>
        <v>RentalApp</v>
      </c>
      <c r="D315" s="1" t="s">
        <v>3782</v>
      </c>
      <c r="E315" s="1" t="b">
        <v>0</v>
      </c>
      <c r="F315" s="23" t="b">
        <v>0</v>
      </c>
      <c r="G315" s="423" t="s">
        <v>3783</v>
      </c>
      <c r="H315" s="418">
        <f ca="1">MIN(6,IF(IFERROR(DATA_HOMELESS_UNITS/DATA_SCORE_HOMELESS_NETUNITS_VARIABLE,0)&gt;=0.2,
SUM(3,3*((DATA_HOMELESS_UNITS-(DATA_SCORE_HOMELESS_NETUNITS_VARIABLE*0.2))/(DATA_SCORE_HOMELESS_NETUNITS_VARIABLE*0.8))),0))</f>
        <v>0</v>
      </c>
      <c r="I315" s="10"/>
      <c r="J315" s="2" t="b">
        <f ca="1">(DB_TBL_DATA_FIELDS[[#This Row],[FIELD_VALUE_RAW]]="")</f>
        <v>0</v>
      </c>
      <c r="K315" s="2" t="s">
        <v>62</v>
      </c>
      <c r="L315" s="7" t="b">
        <f>AND(IF(DB_TBL_DATA_FIELDS[[#This Row],[FIELD_VALID_CUSTOM_LOGIC]]="",TRUE,DB_TBL_DATA_FIELDS[[#This Row],[FIELD_VALID_CUSTOM_LOGIC]]),DB_TBL_DATA_FIELDS[[#This Row],[RANGE_VALIDATION_PASSED_FLAG]])</f>
        <v>1</v>
      </c>
      <c r="M315"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315" s="7">
        <f ca="1">IF(DB_TBL_DATA_FIELDS[[#This Row],[SHEET_REF_CALC]]="","",IF(DB_TBL_DATA_FIELDS[[#This Row],[FIELD_EMPTY_FLAG]],IF(NOT(DB_TBL_DATA_FIELDS[[#This Row],[FIELD_REQ_FLAG]]),-1,1),IF(NOT(DB_TBL_DATA_FIELDS[[#This Row],[FIELD_VALID_FLAG]]),0,2)))</f>
        <v>2</v>
      </c>
      <c r="O315" s="7" t="str">
        <f ca="1">IFERROR(VLOOKUP(DB_TBL_DATA_FIELDS[[#This Row],[FIELD_STATUS_CODE]],DB_TBL_CONFIG_FIELDSTATUSCODES[#All],3,FALSE),"")</f>
        <v>OK</v>
      </c>
      <c r="P315" s="7" t="str">
        <f ca="1">IFERROR(VLOOKUP(DB_TBL_DATA_FIELDS[[#This Row],[FIELD_STATUS_CODE]],DB_TBL_CONFIG_FIELDSTATUSCODES[#All],4,FALSE),"")</f>
        <v>a</v>
      </c>
      <c r="Q315" s="7" t="b">
        <f>TRUE</f>
        <v>1</v>
      </c>
      <c r="R315" s="7" t="b">
        <v>0</v>
      </c>
      <c r="T315" s="7">
        <f ca="1">IF(DB_TBL_DATA_FIELDS[[#This Row],[RANGE_VALIDATION_FLAG]]="Text",LEN(DB_TBL_DATA_FIELDS[[#This Row],[FIELD_VALUE_RAW]]),IFERROR(VALUE(DB_TBL_DATA_FIELDS[[#This Row],[FIELD_VALUE_RAW]]),-1))</f>
        <v>0</v>
      </c>
      <c r="U315" s="7">
        <v>0</v>
      </c>
      <c r="V315" s="7">
        <v>9999999999</v>
      </c>
      <c r="W315" s="7" t="b">
        <f>IF(NOT(DB_TBL_DATA_FIELDS[[#This Row],[RANGE_VALIDATION_ON_FLAG]]),TRUE,
AND(DB_TBL_DATA_FIELDS[[#This Row],[RANGE_VALUE_LEN]]&gt;=DB_TBL_DATA_FIELDS[[#This Row],[RANGE_VALIDATION_MIN]],DB_TBL_DATA_FIELDS[[#This Row],[RANGE_VALUE_LEN]]&lt;=DB_TBL_DATA_FIELDS[[#This Row],[RANGE_VALIDATION_MAX]]))</f>
        <v>1</v>
      </c>
      <c r="X315" s="7">
        <v>0</v>
      </c>
      <c r="Y315" s="7" t="str">
        <f ca="1">IF(DB_TBL_DATA_FIELDS[[#This Row],[PCT_CALC_SHOW_STATUS_CODE]]=1,
DB_TBL_DATA_FIELDS[[#This Row],[FIELD_STATUS_CODE]],
IF(AND(DB_TBL_DATA_FIELDS[[#This Row],[PCT_CALC_SHOW_STATUS_CODE]]=2,DB_TBL_DATA_FIELDS[[#This Row],[FIELD_STATUS_CODE]]=0),
DB_TBL_DATA_FIELDS[[#This Row],[FIELD_STATUS_CODE]],
"")
)</f>
        <v/>
      </c>
      <c r="Z315" s="7"/>
      <c r="AA315" s="10"/>
      <c r="AB315" s="10" t="s">
        <v>3765</v>
      </c>
      <c r="AC315" s="7" t="s">
        <v>3748</v>
      </c>
    </row>
    <row r="316" spans="1:29" x14ac:dyDescent="0.2">
      <c r="A316" s="4" t="s">
        <v>65</v>
      </c>
      <c r="B316" s="4" t="s">
        <v>64</v>
      </c>
      <c r="C316" s="8" t="str">
        <f ca="1">IF($H$10&lt;&gt;"R",IF(DB_TBL_DATA_FIELDS[[#This Row],[SHEET_REF_OWNER]]&lt;&gt;"",DB_TBL_DATA_FIELDS[[#This Row],[SHEET_REF_OWNER]],""),IF(DB_TBL_DATA_FIELDS[[#This Row],[SHEET_REF_RENTAL]]&lt;&gt;"",DB_TBL_DATA_FIELDS[[#This Row],[SHEET_REF_RENTAL]],""))</f>
        <v>RentalApp</v>
      </c>
      <c r="D316" s="1" t="s">
        <v>3784</v>
      </c>
      <c r="E316" s="1" t="b">
        <v>0</v>
      </c>
      <c r="F316" s="23" t="b">
        <v>0</v>
      </c>
      <c r="G316" s="423" t="s">
        <v>3785</v>
      </c>
      <c r="H316" s="418">
        <f ca="1">MIN(5,
IF(IFERROR(DATA_SPECIALNEEDS_TOTAL_UNITS/DATA_TOTAL_UNITS,0)&gt;=0.2,
IFERROR(DATA_SPECIALNEEDS_TOTAL_UNITS/DATA_SCORE_HOMELESS_NETUNITS_VARIABLE,0)*5,
0)
)</f>
        <v>0</v>
      </c>
      <c r="I316" s="10"/>
      <c r="J316" s="2" t="b">
        <f ca="1">(DB_TBL_DATA_FIELDS[[#This Row],[FIELD_VALUE_RAW]]="")</f>
        <v>0</v>
      </c>
      <c r="K316" s="2" t="s">
        <v>62</v>
      </c>
      <c r="L316" s="7" t="b">
        <f>AND(IF(DB_TBL_DATA_FIELDS[[#This Row],[FIELD_VALID_CUSTOM_LOGIC]]="",TRUE,DB_TBL_DATA_FIELDS[[#This Row],[FIELD_VALID_CUSTOM_LOGIC]]),DB_TBL_DATA_FIELDS[[#This Row],[RANGE_VALIDATION_PASSED_FLAG]])</f>
        <v>1</v>
      </c>
      <c r="M316"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316" s="7">
        <f ca="1">IF(DB_TBL_DATA_FIELDS[[#This Row],[SHEET_REF_CALC]]="","",IF(DB_TBL_DATA_FIELDS[[#This Row],[FIELD_EMPTY_FLAG]],IF(NOT(DB_TBL_DATA_FIELDS[[#This Row],[FIELD_REQ_FLAG]]),-1,1),IF(NOT(DB_TBL_DATA_FIELDS[[#This Row],[FIELD_VALID_FLAG]]),0,2)))</f>
        <v>2</v>
      </c>
      <c r="O316" s="7" t="str">
        <f ca="1">IFERROR(VLOOKUP(DB_TBL_DATA_FIELDS[[#This Row],[FIELD_STATUS_CODE]],DB_TBL_CONFIG_FIELDSTATUSCODES[#All],3,FALSE),"")</f>
        <v>OK</v>
      </c>
      <c r="P316" s="7" t="str">
        <f ca="1">IFERROR(VLOOKUP(DB_TBL_DATA_FIELDS[[#This Row],[FIELD_STATUS_CODE]],DB_TBL_CONFIG_FIELDSTATUSCODES[#All],4,FALSE),"")</f>
        <v>a</v>
      </c>
      <c r="Q316" s="7" t="b">
        <f>TRUE</f>
        <v>1</v>
      </c>
      <c r="R316" s="7" t="b">
        <v>0</v>
      </c>
      <c r="T316" s="7">
        <f ca="1">IF(DB_TBL_DATA_FIELDS[[#This Row],[RANGE_VALIDATION_FLAG]]="Text",LEN(DB_TBL_DATA_FIELDS[[#This Row],[FIELD_VALUE_RAW]]),IFERROR(VALUE(DB_TBL_DATA_FIELDS[[#This Row],[FIELD_VALUE_RAW]]),-1))</f>
        <v>0</v>
      </c>
      <c r="U316" s="7">
        <v>0</v>
      </c>
      <c r="V316" s="7">
        <v>9999999999</v>
      </c>
      <c r="W316" s="7" t="b">
        <f>IF(NOT(DB_TBL_DATA_FIELDS[[#This Row],[RANGE_VALIDATION_ON_FLAG]]),TRUE,
AND(DB_TBL_DATA_FIELDS[[#This Row],[RANGE_VALUE_LEN]]&gt;=DB_TBL_DATA_FIELDS[[#This Row],[RANGE_VALIDATION_MIN]],DB_TBL_DATA_FIELDS[[#This Row],[RANGE_VALUE_LEN]]&lt;=DB_TBL_DATA_FIELDS[[#This Row],[RANGE_VALIDATION_MAX]]))</f>
        <v>1</v>
      </c>
      <c r="X316" s="7">
        <v>0</v>
      </c>
      <c r="Y316" s="7" t="str">
        <f ca="1">IF(DB_TBL_DATA_FIELDS[[#This Row],[PCT_CALC_SHOW_STATUS_CODE]]=1,
DB_TBL_DATA_FIELDS[[#This Row],[FIELD_STATUS_CODE]],
IF(AND(DB_TBL_DATA_FIELDS[[#This Row],[PCT_CALC_SHOW_STATUS_CODE]]=2,DB_TBL_DATA_FIELDS[[#This Row],[FIELD_STATUS_CODE]]=0),
DB_TBL_DATA_FIELDS[[#This Row],[FIELD_STATUS_CODE]],
"")
)</f>
        <v/>
      </c>
      <c r="Z316" s="7"/>
      <c r="AA316" s="10"/>
      <c r="AB316" s="10" t="s">
        <v>3765</v>
      </c>
      <c r="AC316" s="7" t="s">
        <v>3748</v>
      </c>
    </row>
    <row r="317" spans="1:29" x14ac:dyDescent="0.2">
      <c r="A317" s="4" t="s">
        <v>65</v>
      </c>
      <c r="B317" s="4" t="s">
        <v>64</v>
      </c>
      <c r="C317" s="8" t="str">
        <f ca="1">IF($H$10&lt;&gt;"R",IF(DB_TBL_DATA_FIELDS[[#This Row],[SHEET_REF_OWNER]]&lt;&gt;"",DB_TBL_DATA_FIELDS[[#This Row],[SHEET_REF_OWNER]],""),IF(DB_TBL_DATA_FIELDS[[#This Row],[SHEET_REF_RENTAL]]&lt;&gt;"",DB_TBL_DATA_FIELDS[[#This Row],[SHEET_REF_RENTAL]],""))</f>
        <v>RentalApp</v>
      </c>
      <c r="D317" s="1" t="s">
        <v>3786</v>
      </c>
      <c r="E317" s="1" t="b">
        <v>0</v>
      </c>
      <c r="F317" s="23" t="b">
        <v>0</v>
      </c>
      <c r="G317" s="423" t="s">
        <v>3787</v>
      </c>
      <c r="H317" s="418">
        <f ca="1">IF(IFERROR(DATA_LARGE_UNITS/DATA_TOTAL_UNITS,0)&gt;=0.25,3,0)</f>
        <v>0</v>
      </c>
      <c r="I317" s="10"/>
      <c r="J317" s="2" t="b">
        <f ca="1">(DB_TBL_DATA_FIELDS[[#This Row],[FIELD_VALUE_RAW]]="")</f>
        <v>0</v>
      </c>
      <c r="K317" s="2" t="s">
        <v>62</v>
      </c>
      <c r="L317" s="7" t="b">
        <f>AND(IF(DB_TBL_DATA_FIELDS[[#This Row],[FIELD_VALID_CUSTOM_LOGIC]]="",TRUE,DB_TBL_DATA_FIELDS[[#This Row],[FIELD_VALID_CUSTOM_LOGIC]]),DB_TBL_DATA_FIELDS[[#This Row],[RANGE_VALIDATION_PASSED_FLAG]])</f>
        <v>1</v>
      </c>
      <c r="M317"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317" s="7">
        <f ca="1">IF(DB_TBL_DATA_FIELDS[[#This Row],[SHEET_REF_CALC]]="","",IF(DB_TBL_DATA_FIELDS[[#This Row],[FIELD_EMPTY_FLAG]],IF(NOT(DB_TBL_DATA_FIELDS[[#This Row],[FIELD_REQ_FLAG]]),-1,1),IF(NOT(DB_TBL_DATA_FIELDS[[#This Row],[FIELD_VALID_FLAG]]),0,2)))</f>
        <v>2</v>
      </c>
      <c r="O317" s="7" t="str">
        <f ca="1">IFERROR(VLOOKUP(DB_TBL_DATA_FIELDS[[#This Row],[FIELD_STATUS_CODE]],DB_TBL_CONFIG_FIELDSTATUSCODES[#All],3,FALSE),"")</f>
        <v>OK</v>
      </c>
      <c r="P317" s="7" t="str">
        <f ca="1">IFERROR(VLOOKUP(DB_TBL_DATA_FIELDS[[#This Row],[FIELD_STATUS_CODE]],DB_TBL_CONFIG_FIELDSTATUSCODES[#All],4,FALSE),"")</f>
        <v>a</v>
      </c>
      <c r="Q317" s="7" t="b">
        <f>TRUE</f>
        <v>1</v>
      </c>
      <c r="R317" s="7" t="b">
        <v>0</v>
      </c>
      <c r="T317" s="7">
        <f ca="1">IF(DB_TBL_DATA_FIELDS[[#This Row],[RANGE_VALIDATION_FLAG]]="Text",LEN(DB_TBL_DATA_FIELDS[[#This Row],[FIELD_VALUE_RAW]]),IFERROR(VALUE(DB_TBL_DATA_FIELDS[[#This Row],[FIELD_VALUE_RAW]]),-1))</f>
        <v>0</v>
      </c>
      <c r="U317" s="7">
        <v>0</v>
      </c>
      <c r="V317" s="7">
        <v>9999999999</v>
      </c>
      <c r="W317" s="7" t="b">
        <f>IF(NOT(DB_TBL_DATA_FIELDS[[#This Row],[RANGE_VALIDATION_ON_FLAG]]),TRUE,
AND(DB_TBL_DATA_FIELDS[[#This Row],[RANGE_VALUE_LEN]]&gt;=DB_TBL_DATA_FIELDS[[#This Row],[RANGE_VALIDATION_MIN]],DB_TBL_DATA_FIELDS[[#This Row],[RANGE_VALUE_LEN]]&lt;=DB_TBL_DATA_FIELDS[[#This Row],[RANGE_VALIDATION_MAX]]))</f>
        <v>1</v>
      </c>
      <c r="X317" s="7">
        <v>0</v>
      </c>
      <c r="Y317" s="7" t="str">
        <f ca="1">IF(DB_TBL_DATA_FIELDS[[#This Row],[PCT_CALC_SHOW_STATUS_CODE]]=1,
DB_TBL_DATA_FIELDS[[#This Row],[FIELD_STATUS_CODE]],
IF(AND(DB_TBL_DATA_FIELDS[[#This Row],[PCT_CALC_SHOW_STATUS_CODE]]=2,DB_TBL_DATA_FIELDS[[#This Row],[FIELD_STATUS_CODE]]=0),
DB_TBL_DATA_FIELDS[[#This Row],[FIELD_STATUS_CODE]],
"")
)</f>
        <v/>
      </c>
      <c r="Z317" s="7"/>
      <c r="AA317" s="10"/>
      <c r="AB317" s="10" t="s">
        <v>3765</v>
      </c>
      <c r="AC317" s="7" t="s">
        <v>3748</v>
      </c>
    </row>
    <row r="318" spans="1:29" x14ac:dyDescent="0.2">
      <c r="A318" s="4" t="s">
        <v>65</v>
      </c>
      <c r="B318" s="4" t="s">
        <v>64</v>
      </c>
      <c r="C318" s="8" t="str">
        <f ca="1">IF($H$10&lt;&gt;"R",IF(DB_TBL_DATA_FIELDS[[#This Row],[SHEET_REF_OWNER]]&lt;&gt;"",DB_TBL_DATA_FIELDS[[#This Row],[SHEET_REF_OWNER]],""),IF(DB_TBL_DATA_FIELDS[[#This Row],[SHEET_REF_RENTAL]]&lt;&gt;"",DB_TBL_DATA_FIELDS[[#This Row],[SHEET_REF_RENTAL]],""))</f>
        <v>RentalApp</v>
      </c>
      <c r="D318" s="1" t="s">
        <v>3788</v>
      </c>
      <c r="E318" s="1" t="b">
        <v>0</v>
      </c>
      <c r="F318" s="23" t="b">
        <v>0</v>
      </c>
      <c r="G318" s="423" t="s">
        <v>3789</v>
      </c>
      <c r="H318" s="418">
        <f ca="1">MIN(5,
IF(IFERROR(DATA_RURAL_UNITS/DATA_TOTAL_UNITS,0)&gt;=0.2,
IFERROR(DATA_RURAL_UNITS/DATA_TOTAL_UNITS,0)*5,
0)
)</f>
        <v>0</v>
      </c>
      <c r="I318" s="10"/>
      <c r="J318" s="2" t="b">
        <f ca="1">(DB_TBL_DATA_FIELDS[[#This Row],[FIELD_VALUE_RAW]]="")</f>
        <v>0</v>
      </c>
      <c r="K318" s="2" t="s">
        <v>62</v>
      </c>
      <c r="L318" s="7" t="b">
        <f>AND(IF(DB_TBL_DATA_FIELDS[[#This Row],[FIELD_VALID_CUSTOM_LOGIC]]="",TRUE,DB_TBL_DATA_FIELDS[[#This Row],[FIELD_VALID_CUSTOM_LOGIC]]),DB_TBL_DATA_FIELDS[[#This Row],[RANGE_VALIDATION_PASSED_FLAG]])</f>
        <v>1</v>
      </c>
      <c r="M318"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318" s="7">
        <f ca="1">IF(DB_TBL_DATA_FIELDS[[#This Row],[SHEET_REF_CALC]]="","",IF(DB_TBL_DATA_FIELDS[[#This Row],[FIELD_EMPTY_FLAG]],IF(NOT(DB_TBL_DATA_FIELDS[[#This Row],[FIELD_REQ_FLAG]]),-1,1),IF(NOT(DB_TBL_DATA_FIELDS[[#This Row],[FIELD_VALID_FLAG]]),0,2)))</f>
        <v>2</v>
      </c>
      <c r="O318" s="7" t="str">
        <f ca="1">IFERROR(VLOOKUP(DB_TBL_DATA_FIELDS[[#This Row],[FIELD_STATUS_CODE]],DB_TBL_CONFIG_FIELDSTATUSCODES[#All],3,FALSE),"")</f>
        <v>OK</v>
      </c>
      <c r="P318" s="7" t="str">
        <f ca="1">IFERROR(VLOOKUP(DB_TBL_DATA_FIELDS[[#This Row],[FIELD_STATUS_CODE]],DB_TBL_CONFIG_FIELDSTATUSCODES[#All],4,FALSE),"")</f>
        <v>a</v>
      </c>
      <c r="Q318" s="7" t="b">
        <f>TRUE</f>
        <v>1</v>
      </c>
      <c r="R318" s="7" t="b">
        <v>0</v>
      </c>
      <c r="T318" s="7">
        <f ca="1">IF(DB_TBL_DATA_FIELDS[[#This Row],[RANGE_VALIDATION_FLAG]]="Text",LEN(DB_TBL_DATA_FIELDS[[#This Row],[FIELD_VALUE_RAW]]),IFERROR(VALUE(DB_TBL_DATA_FIELDS[[#This Row],[FIELD_VALUE_RAW]]),-1))</f>
        <v>0</v>
      </c>
      <c r="U318" s="7">
        <v>0</v>
      </c>
      <c r="V318" s="7">
        <v>9999999999</v>
      </c>
      <c r="W318" s="7" t="b">
        <f>IF(NOT(DB_TBL_DATA_FIELDS[[#This Row],[RANGE_VALIDATION_ON_FLAG]]),TRUE,
AND(DB_TBL_DATA_FIELDS[[#This Row],[RANGE_VALUE_LEN]]&gt;=DB_TBL_DATA_FIELDS[[#This Row],[RANGE_VALIDATION_MIN]],DB_TBL_DATA_FIELDS[[#This Row],[RANGE_VALUE_LEN]]&lt;=DB_TBL_DATA_FIELDS[[#This Row],[RANGE_VALIDATION_MAX]]))</f>
        <v>1</v>
      </c>
      <c r="X318" s="7">
        <v>0</v>
      </c>
      <c r="Y318" s="7" t="str">
        <f ca="1">IF(DB_TBL_DATA_FIELDS[[#This Row],[PCT_CALC_SHOW_STATUS_CODE]]=1,
DB_TBL_DATA_FIELDS[[#This Row],[FIELD_STATUS_CODE]],
IF(AND(DB_TBL_DATA_FIELDS[[#This Row],[PCT_CALC_SHOW_STATUS_CODE]]=2,DB_TBL_DATA_FIELDS[[#This Row],[FIELD_STATUS_CODE]]=0),
DB_TBL_DATA_FIELDS[[#This Row],[FIELD_STATUS_CODE]],
"")
)</f>
        <v/>
      </c>
      <c r="Z318" s="7"/>
      <c r="AA318" s="10"/>
      <c r="AB318" s="10" t="s">
        <v>3765</v>
      </c>
      <c r="AC318" s="7" t="s">
        <v>3748</v>
      </c>
    </row>
    <row r="319" spans="1:29" x14ac:dyDescent="0.2">
      <c r="A319" s="4" t="s">
        <v>65</v>
      </c>
      <c r="B319" s="4" t="s">
        <v>64</v>
      </c>
      <c r="C319" s="8" t="str">
        <f ca="1">IF($H$10&lt;&gt;"R",IF(DB_TBL_DATA_FIELDS[[#This Row],[SHEET_REF_OWNER]]&lt;&gt;"",DB_TBL_DATA_FIELDS[[#This Row],[SHEET_REF_OWNER]],""),IF(DB_TBL_DATA_FIELDS[[#This Row],[SHEET_REF_RENTAL]]&lt;&gt;"",DB_TBL_DATA_FIELDS[[#This Row],[SHEET_REF_RENTAL]],""))</f>
        <v>RentalApp</v>
      </c>
      <c r="D319" s="1" t="s">
        <v>3790</v>
      </c>
      <c r="E319" s="1" t="b">
        <v>0</v>
      </c>
      <c r="F319" s="23" t="b">
        <v>0</v>
      </c>
      <c r="G319" s="423" t="s">
        <v>3791</v>
      </c>
      <c r="H319" s="418">
        <f ca="1">IF(OR(
DATA_EMPMNT_WORKFORCEDEV_FLG=TRUE,
DATA_EMPMNT_OWNERCOUNSELING_FLG=TRUE,
DATA_EMPMNT_SWEATEQUITY_FLG=TRUE,
DATA_EMPMNT_ONSITEHEALTH_FLG=TRUE,
DATA_EMPMNT_ONSITEDAYCARE_FLG=TRUE,
DATA_EMPMNT_AFTERSCHOOL_FLG=TRUE,
DATA_EMPMNT_SOCIALWORKER_FLG=TRUE),5,0)</f>
        <v>0</v>
      </c>
      <c r="I319" s="10"/>
      <c r="J319" s="2" t="b">
        <f ca="1">(DB_TBL_DATA_FIELDS[[#This Row],[FIELD_VALUE_RAW]]="")</f>
        <v>0</v>
      </c>
      <c r="K319" s="2" t="s">
        <v>62</v>
      </c>
      <c r="L319" s="7" t="b">
        <f>AND(IF(DB_TBL_DATA_FIELDS[[#This Row],[FIELD_VALID_CUSTOM_LOGIC]]="",TRUE,DB_TBL_DATA_FIELDS[[#This Row],[FIELD_VALID_CUSTOM_LOGIC]]),DB_TBL_DATA_FIELDS[[#This Row],[RANGE_VALIDATION_PASSED_FLAG]])</f>
        <v>1</v>
      </c>
      <c r="M319"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319" s="7">
        <f ca="1">IF(DB_TBL_DATA_FIELDS[[#This Row],[SHEET_REF_CALC]]="","",IF(DB_TBL_DATA_FIELDS[[#This Row],[FIELD_EMPTY_FLAG]],IF(NOT(DB_TBL_DATA_FIELDS[[#This Row],[FIELD_REQ_FLAG]]),-1,1),IF(NOT(DB_TBL_DATA_FIELDS[[#This Row],[FIELD_VALID_FLAG]]),0,2)))</f>
        <v>2</v>
      </c>
      <c r="O319" s="7" t="str">
        <f ca="1">IFERROR(VLOOKUP(DB_TBL_DATA_FIELDS[[#This Row],[FIELD_STATUS_CODE]],DB_TBL_CONFIG_FIELDSTATUSCODES[#All],3,FALSE),"")</f>
        <v>OK</v>
      </c>
      <c r="P319" s="7" t="str">
        <f ca="1">IFERROR(VLOOKUP(DB_TBL_DATA_FIELDS[[#This Row],[FIELD_STATUS_CODE]],DB_TBL_CONFIG_FIELDSTATUSCODES[#All],4,FALSE),"")</f>
        <v>a</v>
      </c>
      <c r="Q319" s="7" t="b">
        <f>TRUE</f>
        <v>1</v>
      </c>
      <c r="R319" s="7" t="b">
        <v>0</v>
      </c>
      <c r="T319" s="7">
        <f ca="1">IF(DB_TBL_DATA_FIELDS[[#This Row],[RANGE_VALIDATION_FLAG]]="Text",LEN(DB_TBL_DATA_FIELDS[[#This Row],[FIELD_VALUE_RAW]]),IFERROR(VALUE(DB_TBL_DATA_FIELDS[[#This Row],[FIELD_VALUE_RAW]]),-1))</f>
        <v>0</v>
      </c>
      <c r="U319" s="7">
        <v>0</v>
      </c>
      <c r="V319" s="7">
        <v>9999999999</v>
      </c>
      <c r="W319" s="7" t="b">
        <f>IF(NOT(DB_TBL_DATA_FIELDS[[#This Row],[RANGE_VALIDATION_ON_FLAG]]),TRUE,
AND(DB_TBL_DATA_FIELDS[[#This Row],[RANGE_VALUE_LEN]]&gt;=DB_TBL_DATA_FIELDS[[#This Row],[RANGE_VALIDATION_MIN]],DB_TBL_DATA_FIELDS[[#This Row],[RANGE_VALUE_LEN]]&lt;=DB_TBL_DATA_FIELDS[[#This Row],[RANGE_VALIDATION_MAX]]))</f>
        <v>1</v>
      </c>
      <c r="X319" s="7">
        <v>0</v>
      </c>
      <c r="Y319" s="7" t="str">
        <f ca="1">IF(DB_TBL_DATA_FIELDS[[#This Row],[PCT_CALC_SHOW_STATUS_CODE]]=1,
DB_TBL_DATA_FIELDS[[#This Row],[FIELD_STATUS_CODE]],
IF(AND(DB_TBL_DATA_FIELDS[[#This Row],[PCT_CALC_SHOW_STATUS_CODE]]=2,DB_TBL_DATA_FIELDS[[#This Row],[FIELD_STATUS_CODE]]=0),
DB_TBL_DATA_FIELDS[[#This Row],[FIELD_STATUS_CODE]],
"")
)</f>
        <v/>
      </c>
      <c r="Z319" s="7"/>
      <c r="AA319" s="10"/>
      <c r="AB319" s="10" t="s">
        <v>3765</v>
      </c>
      <c r="AC319" s="7" t="s">
        <v>3748</v>
      </c>
    </row>
    <row r="320" spans="1:29" x14ac:dyDescent="0.2">
      <c r="A320" s="4" t="s">
        <v>65</v>
      </c>
      <c r="B320" s="4" t="s">
        <v>64</v>
      </c>
      <c r="C320" s="8" t="str">
        <f ca="1">IF($H$10&lt;&gt;"R",IF(DB_TBL_DATA_FIELDS[[#This Row],[SHEET_REF_OWNER]]&lt;&gt;"",DB_TBL_DATA_FIELDS[[#This Row],[SHEET_REF_OWNER]],""),IF(DB_TBL_DATA_FIELDS[[#This Row],[SHEET_REF_RENTAL]]&lt;&gt;"",DB_TBL_DATA_FIELDS[[#This Row],[SHEET_REF_RENTAL]],""))</f>
        <v>RentalApp</v>
      </c>
      <c r="D320" s="1" t="s">
        <v>3792</v>
      </c>
      <c r="E320" s="1" t="b">
        <v>0</v>
      </c>
      <c r="F320" s="23" t="b">
        <v>0</v>
      </c>
      <c r="G320" s="423" t="s">
        <v>3793</v>
      </c>
      <c r="H320" s="418">
        <f ca="1">MIN(14,
SUM(
IF(AND(DATA_CS_REVITALIZING_A_CODE&lt;&gt;"",CS_REVITALIZING_A_CODE&lt;5),3,0),
IF(AND(DATA_CS_PLANNING_A_CODE&lt;&gt;"",DATA_CS_PLANNING_A_CODE&lt;4),2,0),
IF(DATA_CS_PROXIMITY_TRANSITLINES&lt;&gt;"",MIN(2,DATA_CS_PROXIMITY_TRANSITLINES*0.5),0),
IF(DATA_CS_PROXIMITY_AMENITIES&lt;&gt;"",MIN(2,DATA_CS_PROXIMITY_AMENITIES*0.5),0),
IF(DATA_CS_SUSTAINABLE_A_CODE&lt;&gt;"",IF(DATA_CS_SUSTAINABLE_A_CODE&lt;5,DATA_CS_SUSTAINABLE_A_CODE,0),0),
IF(DATA_CS_INTEGRATION_HOMEOWNEROP_FLG,1,0),
IF(DATA_CS_INTEGRATION_CENSUSTRACTS_FLG,1,0),
IF(AND(DATA_CS_DISPLACEMENT_A_CODE&lt;&gt;"",DATA_CS_DISPLACEMENT_A_CODE&lt;3),1,0)
)
)</f>
        <v>0</v>
      </c>
      <c r="I320" s="10"/>
      <c r="J320" s="2" t="b">
        <f ca="1">(DB_TBL_DATA_FIELDS[[#This Row],[FIELD_VALUE_RAW]]="")</f>
        <v>0</v>
      </c>
      <c r="K320" s="2" t="s">
        <v>62</v>
      </c>
      <c r="L320" s="7" t="b">
        <f>AND(IF(DB_TBL_DATA_FIELDS[[#This Row],[FIELD_VALID_CUSTOM_LOGIC]]="",TRUE,DB_TBL_DATA_FIELDS[[#This Row],[FIELD_VALID_CUSTOM_LOGIC]]),DB_TBL_DATA_FIELDS[[#This Row],[RANGE_VALIDATION_PASSED_FLAG]])</f>
        <v>1</v>
      </c>
      <c r="M320"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320" s="7">
        <f ca="1">IF(DB_TBL_DATA_FIELDS[[#This Row],[SHEET_REF_CALC]]="","",IF(DB_TBL_DATA_FIELDS[[#This Row],[FIELD_EMPTY_FLAG]],IF(NOT(DB_TBL_DATA_FIELDS[[#This Row],[FIELD_REQ_FLAG]]),-1,1),IF(NOT(DB_TBL_DATA_FIELDS[[#This Row],[FIELD_VALID_FLAG]]),0,2)))</f>
        <v>2</v>
      </c>
      <c r="O320" s="7" t="str">
        <f ca="1">IFERROR(VLOOKUP(DB_TBL_DATA_FIELDS[[#This Row],[FIELD_STATUS_CODE]],DB_TBL_CONFIG_FIELDSTATUSCODES[#All],3,FALSE),"")</f>
        <v>OK</v>
      </c>
      <c r="P320" s="7" t="str">
        <f ca="1">IFERROR(VLOOKUP(DB_TBL_DATA_FIELDS[[#This Row],[FIELD_STATUS_CODE]],DB_TBL_CONFIG_FIELDSTATUSCODES[#All],4,FALSE),"")</f>
        <v>a</v>
      </c>
      <c r="Q320" s="7" t="b">
        <f>TRUE</f>
        <v>1</v>
      </c>
      <c r="R320" s="7" t="b">
        <v>0</v>
      </c>
      <c r="T320" s="7">
        <f ca="1">IF(DB_TBL_DATA_FIELDS[[#This Row],[RANGE_VALIDATION_FLAG]]="Text",LEN(DB_TBL_DATA_FIELDS[[#This Row],[FIELD_VALUE_RAW]]),IFERROR(VALUE(DB_TBL_DATA_FIELDS[[#This Row],[FIELD_VALUE_RAW]]),-1))</f>
        <v>0</v>
      </c>
      <c r="U320" s="7">
        <v>0</v>
      </c>
      <c r="V320" s="7">
        <v>9999999999</v>
      </c>
      <c r="W320" s="7" t="b">
        <f>IF(NOT(DB_TBL_DATA_FIELDS[[#This Row],[RANGE_VALIDATION_ON_FLAG]]),TRUE,
AND(DB_TBL_DATA_FIELDS[[#This Row],[RANGE_VALUE_LEN]]&gt;=DB_TBL_DATA_FIELDS[[#This Row],[RANGE_VALIDATION_MIN]],DB_TBL_DATA_FIELDS[[#This Row],[RANGE_VALUE_LEN]]&lt;=DB_TBL_DATA_FIELDS[[#This Row],[RANGE_VALIDATION_MAX]]))</f>
        <v>1</v>
      </c>
      <c r="X320" s="7">
        <v>0</v>
      </c>
      <c r="Y320" s="7" t="str">
        <f ca="1">IF(DB_TBL_DATA_FIELDS[[#This Row],[PCT_CALC_SHOW_STATUS_CODE]]=1,
DB_TBL_DATA_FIELDS[[#This Row],[FIELD_STATUS_CODE]],
IF(AND(DB_TBL_DATA_FIELDS[[#This Row],[PCT_CALC_SHOW_STATUS_CODE]]=2,DB_TBL_DATA_FIELDS[[#This Row],[FIELD_STATUS_CODE]]=0),
DB_TBL_DATA_FIELDS[[#This Row],[FIELD_STATUS_CODE]],
"")
)</f>
        <v/>
      </c>
      <c r="Z320" s="7"/>
      <c r="AA320" s="10"/>
      <c r="AB320" s="10" t="s">
        <v>3765</v>
      </c>
      <c r="AC320" s="7" t="s">
        <v>3748</v>
      </c>
    </row>
    <row r="321" spans="1:29" x14ac:dyDescent="0.2">
      <c r="A321" s="4"/>
      <c r="B321" s="4" t="s">
        <v>64</v>
      </c>
      <c r="C321" s="8" t="str">
        <f ca="1">IF($H$10&lt;&gt;"R",IF(DB_TBL_DATA_FIELDS[[#This Row],[SHEET_REF_OWNER]]&lt;&gt;"",DB_TBL_DATA_FIELDS[[#This Row],[SHEET_REF_OWNER]],""),IF(DB_TBL_DATA_FIELDS[[#This Row],[SHEET_REF_RENTAL]]&lt;&gt;"",DB_TBL_DATA_FIELDS[[#This Row],[SHEET_REF_RENTAL]],""))</f>
        <v>RentalApp</v>
      </c>
      <c r="D321" s="1" t="s">
        <v>3794</v>
      </c>
      <c r="E321" s="1" t="b">
        <v>0</v>
      </c>
      <c r="F321" s="23" t="b">
        <v>0</v>
      </c>
      <c r="G321" s="2" t="s">
        <v>3797</v>
      </c>
      <c r="H321" s="418">
        <f ca="1">IF(DB_TBL_DATA_FIELDS[[#This Row],[SHEET_REF_CALC]]="",0,
SUM(
MIN(3.5,IFERROR(FULLCONTROL_UNITS/DATA_TOTAL_UNITS,0)*3.5),
MIN(2,IFERROR(PARTCONTROL_UNITS/DATA_TOTAL_UNITS,0)*2),
MIN(3.5,IFERROR(SUM(BUILDINGPERMIT_UNITS,READYLETTER_UNITS)/DATA_TOTAL_UNITS,0)*3.5)
)
)</f>
        <v>0</v>
      </c>
      <c r="I321" s="10"/>
      <c r="J321" s="2" t="b">
        <f ca="1">(DB_TBL_DATA_FIELDS[[#This Row],[FIELD_VALUE_RAW]]="")</f>
        <v>0</v>
      </c>
      <c r="K321" s="2" t="s">
        <v>62</v>
      </c>
      <c r="L321" s="7" t="b">
        <f>AND(IF(DB_TBL_DATA_FIELDS[[#This Row],[FIELD_VALID_CUSTOM_LOGIC]]="",TRUE,DB_TBL_DATA_FIELDS[[#This Row],[FIELD_VALID_CUSTOM_LOGIC]]),DB_TBL_DATA_FIELDS[[#This Row],[RANGE_VALIDATION_PASSED_FLAG]])</f>
        <v>1</v>
      </c>
      <c r="M321"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321" s="7">
        <f ca="1">IF(DB_TBL_DATA_FIELDS[[#This Row],[SHEET_REF_CALC]]="","",IF(DB_TBL_DATA_FIELDS[[#This Row],[FIELD_EMPTY_FLAG]],IF(NOT(DB_TBL_DATA_FIELDS[[#This Row],[FIELD_REQ_FLAG]]),-1,1),IF(NOT(DB_TBL_DATA_FIELDS[[#This Row],[FIELD_VALID_FLAG]]),0,2)))</f>
        <v>2</v>
      </c>
      <c r="O321" s="7" t="str">
        <f ca="1">IFERROR(VLOOKUP(DB_TBL_DATA_FIELDS[[#This Row],[FIELD_STATUS_CODE]],DB_TBL_CONFIG_FIELDSTATUSCODES[#All],3,FALSE),"")</f>
        <v>OK</v>
      </c>
      <c r="P321" s="7" t="str">
        <f ca="1">IFERROR(VLOOKUP(DB_TBL_DATA_FIELDS[[#This Row],[FIELD_STATUS_CODE]],DB_TBL_CONFIG_FIELDSTATUSCODES[#All],4,FALSE),"")</f>
        <v>a</v>
      </c>
      <c r="Q321" s="7" t="b">
        <f>TRUE</f>
        <v>1</v>
      </c>
      <c r="R321" s="7" t="b">
        <v>0</v>
      </c>
      <c r="T321" s="7">
        <f ca="1">IF(DB_TBL_DATA_FIELDS[[#This Row],[RANGE_VALIDATION_FLAG]]="Text",LEN(DB_TBL_DATA_FIELDS[[#This Row],[FIELD_VALUE_RAW]]),IFERROR(VALUE(DB_TBL_DATA_FIELDS[[#This Row],[FIELD_VALUE_RAW]]),-1))</f>
        <v>0</v>
      </c>
      <c r="U321" s="7">
        <v>0</v>
      </c>
      <c r="V321" s="7">
        <v>9999999999</v>
      </c>
      <c r="W321" s="7" t="b">
        <f>IF(NOT(DB_TBL_DATA_FIELDS[[#This Row],[RANGE_VALIDATION_ON_FLAG]]),TRUE,
AND(DB_TBL_DATA_FIELDS[[#This Row],[RANGE_VALUE_LEN]]&gt;=DB_TBL_DATA_FIELDS[[#This Row],[RANGE_VALIDATION_MIN]],DB_TBL_DATA_FIELDS[[#This Row],[RANGE_VALUE_LEN]]&lt;=DB_TBL_DATA_FIELDS[[#This Row],[RANGE_VALIDATION_MAX]]))</f>
        <v>1</v>
      </c>
      <c r="X321" s="7">
        <v>0</v>
      </c>
      <c r="Y321" s="7" t="str">
        <f ca="1">IF(DB_TBL_DATA_FIELDS[[#This Row],[PCT_CALC_SHOW_STATUS_CODE]]=1,
DB_TBL_DATA_FIELDS[[#This Row],[FIELD_STATUS_CODE]],
IF(AND(DB_TBL_DATA_FIELDS[[#This Row],[PCT_CALC_SHOW_STATUS_CODE]]=2,DB_TBL_DATA_FIELDS[[#This Row],[FIELD_STATUS_CODE]]=0),
DB_TBL_DATA_FIELDS[[#This Row],[FIELD_STATUS_CODE]],
"")
)</f>
        <v/>
      </c>
      <c r="Z321" s="7"/>
      <c r="AA321" s="10"/>
      <c r="AB321" s="10" t="s">
        <v>3765</v>
      </c>
      <c r="AC321" s="7" t="s">
        <v>3748</v>
      </c>
    </row>
    <row r="322" spans="1:29" x14ac:dyDescent="0.2">
      <c r="A322" s="4" t="s">
        <v>65</v>
      </c>
      <c r="B322" s="4"/>
      <c r="C322" s="8" t="str">
        <f ca="1">IF($H$10&lt;&gt;"R",IF(DB_TBL_DATA_FIELDS[[#This Row],[SHEET_REF_OWNER]]&lt;&gt;"",DB_TBL_DATA_FIELDS[[#This Row],[SHEET_REF_OWNER]],""),IF(DB_TBL_DATA_FIELDS[[#This Row],[SHEET_REF_RENTAL]]&lt;&gt;"",DB_TBL_DATA_FIELDS[[#This Row],[SHEET_REF_RENTAL]],""))</f>
        <v/>
      </c>
      <c r="D322" s="1" t="s">
        <v>3795</v>
      </c>
      <c r="E322" s="1" t="b">
        <v>0</v>
      </c>
      <c r="F322" s="23" t="b">
        <v>0</v>
      </c>
      <c r="G322" s="2" t="s">
        <v>3798</v>
      </c>
      <c r="H322" s="418">
        <f ca="1">IF(DB_TBL_DATA_FIELDS[[#This Row],[SHEET_REF_CALC]]="",0,
IF(SCATTERED_SITE_DOWNPAYMENT_FLAG="",0,
IF(SCATTERED_SITE_DOWNPAYMENT_FLAG=TRUE,
SUM(3.5,MIN(3,IFERROR(DATA_POTENTIAL_HOMEBUYERS_UNITS/DATA_TOTAL_UNITS,0)*3)),
SUM(
MIN(3.5,IFERROR(FULLCONTROL_UNITS/DATA_TOTAL_UNITS,0)*3.5),
MIN(2,IFERROR(PARTCONTROL_UNITS/DATA_TOTAL_UNITS,0)*2),
MIN(3,IFERROR(DATA_POTENTIAL_HOMEBUYERS_UNITS/DATA_TOTAL_UNITS,0)*3),
MIN(3.5,IFERROR(SUM(BUILDINGPERMIT_UNITS,READYLETTER_UNITS)/DATA_TOTAL_UNITS,0)*3.5)
)
))
)</f>
        <v>0</v>
      </c>
      <c r="I322" s="10"/>
      <c r="J322" s="2" t="b">
        <f ca="1">(DB_TBL_DATA_FIELDS[[#This Row],[FIELD_VALUE_RAW]]="")</f>
        <v>0</v>
      </c>
      <c r="K322" s="2" t="s">
        <v>62</v>
      </c>
      <c r="L322" s="7" t="b">
        <f>AND(IF(DB_TBL_DATA_FIELDS[[#This Row],[FIELD_VALID_CUSTOM_LOGIC]]="",TRUE,DB_TBL_DATA_FIELDS[[#This Row],[FIELD_VALID_CUSTOM_LOGIC]]),DB_TBL_DATA_FIELDS[[#This Row],[RANGE_VALIDATION_PASSED_FLAG]])</f>
        <v>1</v>
      </c>
      <c r="M322"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322" s="7" t="str">
        <f ca="1">IF(DB_TBL_DATA_FIELDS[[#This Row],[SHEET_REF_CALC]]="","",IF(DB_TBL_DATA_FIELDS[[#This Row],[FIELD_EMPTY_FLAG]],IF(NOT(DB_TBL_DATA_FIELDS[[#This Row],[FIELD_REQ_FLAG]]),-1,1),IF(NOT(DB_TBL_DATA_FIELDS[[#This Row],[FIELD_VALID_FLAG]]),0,2)))</f>
        <v/>
      </c>
      <c r="O322" s="7" t="str">
        <f ca="1">IFERROR(VLOOKUP(DB_TBL_DATA_FIELDS[[#This Row],[FIELD_STATUS_CODE]],DB_TBL_CONFIG_FIELDSTATUSCODES[#All],3,FALSE),"")</f>
        <v/>
      </c>
      <c r="P322" s="7" t="str">
        <f ca="1">IFERROR(VLOOKUP(DB_TBL_DATA_FIELDS[[#This Row],[FIELD_STATUS_CODE]],DB_TBL_CONFIG_FIELDSTATUSCODES[#All],4,FALSE),"")</f>
        <v/>
      </c>
      <c r="Q322" s="7" t="b">
        <f>TRUE</f>
        <v>1</v>
      </c>
      <c r="R322" s="7" t="b">
        <v>0</v>
      </c>
      <c r="T322" s="7">
        <f ca="1">IF(DB_TBL_DATA_FIELDS[[#This Row],[RANGE_VALIDATION_FLAG]]="Text",LEN(DB_TBL_DATA_FIELDS[[#This Row],[FIELD_VALUE_RAW]]),IFERROR(VALUE(DB_TBL_DATA_FIELDS[[#This Row],[FIELD_VALUE_RAW]]),-1))</f>
        <v>0</v>
      </c>
      <c r="U322" s="7">
        <v>0</v>
      </c>
      <c r="V322" s="7">
        <v>9999999999</v>
      </c>
      <c r="W322" s="7" t="b">
        <f>IF(NOT(DB_TBL_DATA_FIELDS[[#This Row],[RANGE_VALIDATION_ON_FLAG]]),TRUE,
AND(DB_TBL_DATA_FIELDS[[#This Row],[RANGE_VALUE_LEN]]&gt;=DB_TBL_DATA_FIELDS[[#This Row],[RANGE_VALIDATION_MIN]],DB_TBL_DATA_FIELDS[[#This Row],[RANGE_VALUE_LEN]]&lt;=DB_TBL_DATA_FIELDS[[#This Row],[RANGE_VALIDATION_MAX]]))</f>
        <v>1</v>
      </c>
      <c r="X322" s="7">
        <v>0</v>
      </c>
      <c r="Y322" s="7" t="str">
        <f ca="1">IF(DB_TBL_DATA_FIELDS[[#This Row],[PCT_CALC_SHOW_STATUS_CODE]]=1,
DB_TBL_DATA_FIELDS[[#This Row],[FIELD_STATUS_CODE]],
IF(AND(DB_TBL_DATA_FIELDS[[#This Row],[PCT_CALC_SHOW_STATUS_CODE]]=2,DB_TBL_DATA_FIELDS[[#This Row],[FIELD_STATUS_CODE]]=0),
DB_TBL_DATA_FIELDS[[#This Row],[FIELD_STATUS_CODE]],
"")
)</f>
        <v/>
      </c>
      <c r="Z322" s="7"/>
      <c r="AA322" s="10"/>
      <c r="AB322" s="10" t="s">
        <v>3765</v>
      </c>
      <c r="AC322" s="7" t="s">
        <v>3748</v>
      </c>
    </row>
    <row r="323" spans="1:29" x14ac:dyDescent="0.2">
      <c r="A323" s="4" t="s">
        <v>65</v>
      </c>
      <c r="B323" s="4" t="s">
        <v>64</v>
      </c>
      <c r="C323" s="8" t="str">
        <f ca="1">IF($H$10&lt;&gt;"R",IF(DB_TBL_DATA_FIELDS[[#This Row],[SHEET_REF_OWNER]]&lt;&gt;"",DB_TBL_DATA_FIELDS[[#This Row],[SHEET_REF_OWNER]],""),IF(DB_TBL_DATA_FIELDS[[#This Row],[SHEET_REF_RENTAL]]&lt;&gt;"",DB_TBL_DATA_FIELDS[[#This Row],[SHEET_REF_RENTAL]],""))</f>
        <v>RentalApp</v>
      </c>
      <c r="D323" s="1" t="s">
        <v>3796</v>
      </c>
      <c r="E323" s="1" t="b">
        <v>0</v>
      </c>
      <c r="F323" s="23" t="b">
        <v>0</v>
      </c>
      <c r="G323" s="423" t="s">
        <v>3799</v>
      </c>
      <c r="H323" s="418">
        <f ca="1">MIN(7,SUM(DATA_SCORE_PROJREADY_RENTAL,DATA_SCORE_PROJREADY_OWNER))</f>
        <v>0</v>
      </c>
      <c r="I323" s="10"/>
      <c r="J323" s="2" t="b">
        <f ca="1">(DB_TBL_DATA_FIELDS[[#This Row],[FIELD_VALUE_RAW]]="")</f>
        <v>0</v>
      </c>
      <c r="K323" s="2" t="s">
        <v>62</v>
      </c>
      <c r="L323" s="7" t="b">
        <f>AND(IF(DB_TBL_DATA_FIELDS[[#This Row],[FIELD_VALID_CUSTOM_LOGIC]]="",TRUE,DB_TBL_DATA_FIELDS[[#This Row],[FIELD_VALID_CUSTOM_LOGIC]]),DB_TBL_DATA_FIELDS[[#This Row],[RANGE_VALIDATION_PASSED_FLAG]])</f>
        <v>1</v>
      </c>
      <c r="M323"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323" s="7">
        <f ca="1">IF(DB_TBL_DATA_FIELDS[[#This Row],[SHEET_REF_CALC]]="","",IF(DB_TBL_DATA_FIELDS[[#This Row],[FIELD_EMPTY_FLAG]],IF(NOT(DB_TBL_DATA_FIELDS[[#This Row],[FIELD_REQ_FLAG]]),-1,1),IF(NOT(DB_TBL_DATA_FIELDS[[#This Row],[FIELD_VALID_FLAG]]),0,2)))</f>
        <v>2</v>
      </c>
      <c r="O323" s="7" t="str">
        <f ca="1">IFERROR(VLOOKUP(DB_TBL_DATA_FIELDS[[#This Row],[FIELD_STATUS_CODE]],DB_TBL_CONFIG_FIELDSTATUSCODES[#All],3,FALSE),"")</f>
        <v>OK</v>
      </c>
      <c r="P323" s="7" t="str">
        <f ca="1">IFERROR(VLOOKUP(DB_TBL_DATA_FIELDS[[#This Row],[FIELD_STATUS_CODE]],DB_TBL_CONFIG_FIELDSTATUSCODES[#All],4,FALSE),"")</f>
        <v>a</v>
      </c>
      <c r="Q323" s="7" t="b">
        <f>TRUE</f>
        <v>1</v>
      </c>
      <c r="R323" s="7" t="b">
        <v>0</v>
      </c>
      <c r="T323" s="7">
        <f ca="1">IF(DB_TBL_DATA_FIELDS[[#This Row],[RANGE_VALIDATION_FLAG]]="Text",LEN(DB_TBL_DATA_FIELDS[[#This Row],[FIELD_VALUE_RAW]]),IFERROR(VALUE(DB_TBL_DATA_FIELDS[[#This Row],[FIELD_VALUE_RAW]]),-1))</f>
        <v>0</v>
      </c>
      <c r="U323" s="7">
        <v>0</v>
      </c>
      <c r="V323" s="7">
        <v>9999999999</v>
      </c>
      <c r="W323" s="7" t="b">
        <f>IF(NOT(DB_TBL_DATA_FIELDS[[#This Row],[RANGE_VALIDATION_ON_FLAG]]),TRUE,
AND(DB_TBL_DATA_FIELDS[[#This Row],[RANGE_VALUE_LEN]]&gt;=DB_TBL_DATA_FIELDS[[#This Row],[RANGE_VALIDATION_MIN]],DB_TBL_DATA_FIELDS[[#This Row],[RANGE_VALUE_LEN]]&lt;=DB_TBL_DATA_FIELDS[[#This Row],[RANGE_VALIDATION_MAX]]))</f>
        <v>1</v>
      </c>
      <c r="X323" s="7">
        <v>0</v>
      </c>
      <c r="Y323" s="7" t="str">
        <f ca="1">IF(DB_TBL_DATA_FIELDS[[#This Row],[PCT_CALC_SHOW_STATUS_CODE]]=1,
DB_TBL_DATA_FIELDS[[#This Row],[FIELD_STATUS_CODE]],
IF(AND(DB_TBL_DATA_FIELDS[[#This Row],[PCT_CALC_SHOW_STATUS_CODE]]=2,DB_TBL_DATA_FIELDS[[#This Row],[FIELD_STATUS_CODE]]=0),
DB_TBL_DATA_FIELDS[[#This Row],[FIELD_STATUS_CODE]],
"")
)</f>
        <v/>
      </c>
      <c r="Z323" s="7"/>
      <c r="AA323" s="10"/>
      <c r="AB323" s="10" t="s">
        <v>3765</v>
      </c>
      <c r="AC323" s="7" t="s">
        <v>3748</v>
      </c>
    </row>
    <row r="324" spans="1:29" x14ac:dyDescent="0.2">
      <c r="A324" s="4" t="s">
        <v>65</v>
      </c>
      <c r="B324" s="4" t="s">
        <v>64</v>
      </c>
      <c r="C324" s="8" t="str">
        <f ca="1">IF($H$10&lt;&gt;"R",IF(DB_TBL_DATA_FIELDS[[#This Row],[SHEET_REF_OWNER]]&lt;&gt;"",DB_TBL_DATA_FIELDS[[#This Row],[SHEET_REF_OWNER]],""),IF(DB_TBL_DATA_FIELDS[[#This Row],[SHEET_REF_RENTAL]]&lt;&gt;"",DB_TBL_DATA_FIELDS[[#This Row],[SHEET_REF_RENTAL]],""))</f>
        <v>RentalApp</v>
      </c>
      <c r="D324" s="1" t="s">
        <v>3800</v>
      </c>
      <c r="E324" s="1" t="b">
        <v>0</v>
      </c>
      <c r="F324" s="23" t="b">
        <v>0</v>
      </c>
      <c r="G324" s="423" t="s">
        <v>3801</v>
      </c>
      <c r="H324" s="418">
        <f ca="1">IF(DATA_IN_DISTRICT=TRUE,5,0)</f>
        <v>0</v>
      </c>
      <c r="I324" s="10"/>
      <c r="J324" s="2" t="b">
        <f ca="1">(DB_TBL_DATA_FIELDS[[#This Row],[FIELD_VALUE_RAW]]="")</f>
        <v>0</v>
      </c>
      <c r="K324" s="2" t="s">
        <v>62</v>
      </c>
      <c r="L324" s="7" t="b">
        <f>AND(IF(DB_TBL_DATA_FIELDS[[#This Row],[FIELD_VALID_CUSTOM_LOGIC]]="",TRUE,DB_TBL_DATA_FIELDS[[#This Row],[FIELD_VALID_CUSTOM_LOGIC]]),DB_TBL_DATA_FIELDS[[#This Row],[RANGE_VALIDATION_PASSED_FLAG]])</f>
        <v>1</v>
      </c>
      <c r="M324"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324" s="7">
        <f ca="1">IF(DB_TBL_DATA_FIELDS[[#This Row],[SHEET_REF_CALC]]="","",IF(DB_TBL_DATA_FIELDS[[#This Row],[FIELD_EMPTY_FLAG]],IF(NOT(DB_TBL_DATA_FIELDS[[#This Row],[FIELD_REQ_FLAG]]),-1,1),IF(NOT(DB_TBL_DATA_FIELDS[[#This Row],[FIELD_VALID_FLAG]]),0,2)))</f>
        <v>2</v>
      </c>
      <c r="O324" s="7" t="str">
        <f ca="1">IFERROR(VLOOKUP(DB_TBL_DATA_FIELDS[[#This Row],[FIELD_STATUS_CODE]],DB_TBL_CONFIG_FIELDSTATUSCODES[#All],3,FALSE),"")</f>
        <v>OK</v>
      </c>
      <c r="P324" s="7" t="str">
        <f ca="1">IFERROR(VLOOKUP(DB_TBL_DATA_FIELDS[[#This Row],[FIELD_STATUS_CODE]],DB_TBL_CONFIG_FIELDSTATUSCODES[#All],4,FALSE),"")</f>
        <v>a</v>
      </c>
      <c r="Q324" s="7" t="b">
        <f>TRUE</f>
        <v>1</v>
      </c>
      <c r="R324" s="7" t="b">
        <v>0</v>
      </c>
      <c r="T324" s="7">
        <f ca="1">IF(DB_TBL_DATA_FIELDS[[#This Row],[RANGE_VALIDATION_FLAG]]="Text",LEN(DB_TBL_DATA_FIELDS[[#This Row],[FIELD_VALUE_RAW]]),IFERROR(VALUE(DB_TBL_DATA_FIELDS[[#This Row],[FIELD_VALUE_RAW]]),-1))</f>
        <v>0</v>
      </c>
      <c r="U324" s="7">
        <v>0</v>
      </c>
      <c r="V324" s="7">
        <v>9999999999</v>
      </c>
      <c r="W324" s="7" t="b">
        <f>IF(NOT(DB_TBL_DATA_FIELDS[[#This Row],[RANGE_VALIDATION_ON_FLAG]]),TRUE,
AND(DB_TBL_DATA_FIELDS[[#This Row],[RANGE_VALUE_LEN]]&gt;=DB_TBL_DATA_FIELDS[[#This Row],[RANGE_VALIDATION_MIN]],DB_TBL_DATA_FIELDS[[#This Row],[RANGE_VALUE_LEN]]&lt;=DB_TBL_DATA_FIELDS[[#This Row],[RANGE_VALIDATION_MAX]]))</f>
        <v>1</v>
      </c>
      <c r="X324" s="7">
        <v>0</v>
      </c>
      <c r="Y324" s="7" t="str">
        <f ca="1">IF(DB_TBL_DATA_FIELDS[[#This Row],[PCT_CALC_SHOW_STATUS_CODE]]=1,
DB_TBL_DATA_FIELDS[[#This Row],[FIELD_STATUS_CODE]],
IF(AND(DB_TBL_DATA_FIELDS[[#This Row],[PCT_CALC_SHOW_STATUS_CODE]]=2,DB_TBL_DATA_FIELDS[[#This Row],[FIELD_STATUS_CODE]]=0),
DB_TBL_DATA_FIELDS[[#This Row],[FIELD_STATUS_CODE]],
"")
)</f>
        <v/>
      </c>
      <c r="Z324" s="7"/>
      <c r="AA324" s="10"/>
      <c r="AB324" s="10" t="s">
        <v>3765</v>
      </c>
      <c r="AC324" s="7" t="s">
        <v>3748</v>
      </c>
    </row>
    <row r="325" spans="1:29" x14ac:dyDescent="0.2">
      <c r="A325" s="4" t="s">
        <v>65</v>
      </c>
      <c r="B325" s="4" t="s">
        <v>64</v>
      </c>
      <c r="C325" s="8" t="str">
        <f ca="1">IF($H$10&lt;&gt;"R",IF(DB_TBL_DATA_FIELDS[[#This Row],[SHEET_REF_OWNER]]&lt;&gt;"",DB_TBL_DATA_FIELDS[[#This Row],[SHEET_REF_OWNER]],""),IF(DB_TBL_DATA_FIELDS[[#This Row],[SHEET_REF_RENTAL]]&lt;&gt;"",DB_TBL_DATA_FIELDS[[#This Row],[SHEET_REF_RENTAL]],""))</f>
        <v>RentalApp</v>
      </c>
      <c r="D325" s="1" t="s">
        <v>3802</v>
      </c>
      <c r="E325" s="1" t="b">
        <v>0</v>
      </c>
      <c r="F325" s="23" t="b">
        <v>0</v>
      </c>
      <c r="G325" s="423" t="s">
        <v>3803</v>
      </c>
      <c r="H325" s="418">
        <f ca="1">IF(DATA_SPU_REF_SUBSIDY_PER_UNIT="",0,
MAX(0,
MIN(12,
IF($H$10="R",12-(((DATA_SPU_REF_SUBSIDY_PER_UNIT)-15000)*0.00048),12-(((DATA_SPU_REF_SUBSIDY_PER_UNIT)-25000)*0.0006)))))</f>
        <v>0</v>
      </c>
      <c r="I325" s="10"/>
      <c r="J325" s="2" t="b">
        <f ca="1">(DB_TBL_DATA_FIELDS[[#This Row],[FIELD_VALUE_RAW]]="")</f>
        <v>0</v>
      </c>
      <c r="K325" s="2" t="s">
        <v>62</v>
      </c>
      <c r="L325" s="7" t="b">
        <f>AND(IF(DB_TBL_DATA_FIELDS[[#This Row],[FIELD_VALID_CUSTOM_LOGIC]]="",TRUE,DB_TBL_DATA_FIELDS[[#This Row],[FIELD_VALID_CUSTOM_LOGIC]]),DB_TBL_DATA_FIELDS[[#This Row],[RANGE_VALIDATION_PASSED_FLAG]])</f>
        <v>1</v>
      </c>
      <c r="M325"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325" s="7">
        <f ca="1">IF(DB_TBL_DATA_FIELDS[[#This Row],[SHEET_REF_CALC]]="","",IF(DB_TBL_DATA_FIELDS[[#This Row],[FIELD_EMPTY_FLAG]],IF(NOT(DB_TBL_DATA_FIELDS[[#This Row],[FIELD_REQ_FLAG]]),-1,1),IF(NOT(DB_TBL_DATA_FIELDS[[#This Row],[FIELD_VALID_FLAG]]),0,2)))</f>
        <v>2</v>
      </c>
      <c r="O325" s="7" t="str">
        <f ca="1">IFERROR(VLOOKUP(DB_TBL_DATA_FIELDS[[#This Row],[FIELD_STATUS_CODE]],DB_TBL_CONFIG_FIELDSTATUSCODES[#All],3,FALSE),"")</f>
        <v>OK</v>
      </c>
      <c r="P325" s="7" t="str">
        <f ca="1">IFERROR(VLOOKUP(DB_TBL_DATA_FIELDS[[#This Row],[FIELD_STATUS_CODE]],DB_TBL_CONFIG_FIELDSTATUSCODES[#All],4,FALSE),"")</f>
        <v>a</v>
      </c>
      <c r="Q325" s="7" t="b">
        <f>TRUE</f>
        <v>1</v>
      </c>
      <c r="R325" s="7" t="b">
        <v>0</v>
      </c>
      <c r="T325" s="7">
        <f ca="1">IF(DB_TBL_DATA_FIELDS[[#This Row],[RANGE_VALIDATION_FLAG]]="Text",LEN(DB_TBL_DATA_FIELDS[[#This Row],[FIELD_VALUE_RAW]]),IFERROR(VALUE(DB_TBL_DATA_FIELDS[[#This Row],[FIELD_VALUE_RAW]]),-1))</f>
        <v>0</v>
      </c>
      <c r="U325" s="7">
        <v>0</v>
      </c>
      <c r="V325" s="7">
        <v>9999999999</v>
      </c>
      <c r="W325" s="7" t="b">
        <f>IF(NOT(DB_TBL_DATA_FIELDS[[#This Row],[RANGE_VALIDATION_ON_FLAG]]),TRUE,
AND(DB_TBL_DATA_FIELDS[[#This Row],[RANGE_VALUE_LEN]]&gt;=DB_TBL_DATA_FIELDS[[#This Row],[RANGE_VALIDATION_MIN]],DB_TBL_DATA_FIELDS[[#This Row],[RANGE_VALUE_LEN]]&lt;=DB_TBL_DATA_FIELDS[[#This Row],[RANGE_VALIDATION_MAX]]))</f>
        <v>1</v>
      </c>
      <c r="X325" s="7">
        <v>0</v>
      </c>
      <c r="Y325" s="7" t="str">
        <f ca="1">IF(DB_TBL_DATA_FIELDS[[#This Row],[PCT_CALC_SHOW_STATUS_CODE]]=1,
DB_TBL_DATA_FIELDS[[#This Row],[FIELD_STATUS_CODE]],
IF(AND(DB_TBL_DATA_FIELDS[[#This Row],[PCT_CALC_SHOW_STATUS_CODE]]=2,DB_TBL_DATA_FIELDS[[#This Row],[FIELD_STATUS_CODE]]=0),
DB_TBL_DATA_FIELDS[[#This Row],[FIELD_STATUS_CODE]],
"")
)</f>
        <v/>
      </c>
      <c r="Z325" s="7"/>
      <c r="AA325" s="10"/>
      <c r="AB325" s="10" t="s">
        <v>3765</v>
      </c>
      <c r="AC325" s="7" t="s">
        <v>3748</v>
      </c>
    </row>
    <row r="326" spans="1:29" x14ac:dyDescent="0.2">
      <c r="A326" s="4"/>
      <c r="B326" s="4" t="s">
        <v>64</v>
      </c>
      <c r="C326" s="8" t="str">
        <f ca="1">IF($H$10&lt;&gt;"R",IF(DB_TBL_DATA_FIELDS[[#This Row],[SHEET_REF_OWNER]]&lt;&gt;"",DB_TBL_DATA_FIELDS[[#This Row],[SHEET_REF_OWNER]],""),IF(DB_TBL_DATA_FIELDS[[#This Row],[SHEET_REF_RENTAL]]&lt;&gt;"",DB_TBL_DATA_FIELDS[[#This Row],[SHEET_REF_RENTAL]],""))</f>
        <v>RentalApp</v>
      </c>
      <c r="D326" s="1" t="s">
        <v>3804</v>
      </c>
      <c r="E326" s="1" t="b">
        <v>0</v>
      </c>
      <c r="F326" s="23" t="b">
        <v>0</v>
      </c>
      <c r="G326" s="2" t="s">
        <v>3805</v>
      </c>
      <c r="H326" s="418">
        <f ca="1">IF(OR(DB_TBL_DATA_FIELDS[[#This Row],[SHEET_REF_CALC]]="",DATA_TOTAL_UNITS=""),0,
SUMIF(H193:H204,"&lt;=.5",H181:H192)/DATA_TOTAL_UNITS)</f>
        <v>0</v>
      </c>
      <c r="I326" s="10"/>
      <c r="J326" s="2" t="b">
        <f ca="1">(DB_TBL_DATA_FIELDS[[#This Row],[FIELD_VALUE_RAW]]="")</f>
        <v>0</v>
      </c>
      <c r="K326" s="2" t="s">
        <v>62</v>
      </c>
      <c r="L326" s="7" t="b">
        <f>AND(IF(DB_TBL_DATA_FIELDS[[#This Row],[FIELD_VALID_CUSTOM_LOGIC]]="",TRUE,DB_TBL_DATA_FIELDS[[#This Row],[FIELD_VALID_CUSTOM_LOGIC]]),DB_TBL_DATA_FIELDS[[#This Row],[RANGE_VALIDATION_PASSED_FLAG]])</f>
        <v>1</v>
      </c>
      <c r="M326"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326" s="7">
        <f ca="1">IF(DB_TBL_DATA_FIELDS[[#This Row],[SHEET_REF_CALC]]="","",IF(DB_TBL_DATA_FIELDS[[#This Row],[FIELD_EMPTY_FLAG]],IF(NOT(DB_TBL_DATA_FIELDS[[#This Row],[FIELD_REQ_FLAG]]),-1,1),IF(NOT(DB_TBL_DATA_FIELDS[[#This Row],[FIELD_VALID_FLAG]]),0,2)))</f>
        <v>2</v>
      </c>
      <c r="O326" s="7" t="str">
        <f ca="1">IFERROR(VLOOKUP(DB_TBL_DATA_FIELDS[[#This Row],[FIELD_STATUS_CODE]],DB_TBL_CONFIG_FIELDSTATUSCODES[#All],3,FALSE),"")</f>
        <v>OK</v>
      </c>
      <c r="P326" s="7" t="str">
        <f ca="1">IFERROR(VLOOKUP(DB_TBL_DATA_FIELDS[[#This Row],[FIELD_STATUS_CODE]],DB_TBL_CONFIG_FIELDSTATUSCODES[#All],4,FALSE),"")</f>
        <v>a</v>
      </c>
      <c r="Q326" s="7" t="b">
        <f>TRUE</f>
        <v>1</v>
      </c>
      <c r="R326" s="7" t="b">
        <v>0</v>
      </c>
      <c r="T326" s="7">
        <f ca="1">IF(DB_TBL_DATA_FIELDS[[#This Row],[RANGE_VALIDATION_FLAG]]="Text",LEN(DB_TBL_DATA_FIELDS[[#This Row],[FIELD_VALUE_RAW]]),IFERROR(VALUE(DB_TBL_DATA_FIELDS[[#This Row],[FIELD_VALUE_RAW]]),-1))</f>
        <v>0</v>
      </c>
      <c r="U326" s="7">
        <v>0</v>
      </c>
      <c r="V326" s="7">
        <v>9999999999</v>
      </c>
      <c r="W326" s="7" t="b">
        <f>IF(NOT(DB_TBL_DATA_FIELDS[[#This Row],[RANGE_VALIDATION_ON_FLAG]]),TRUE,
AND(DB_TBL_DATA_FIELDS[[#This Row],[RANGE_VALUE_LEN]]&gt;=DB_TBL_DATA_FIELDS[[#This Row],[RANGE_VALIDATION_MIN]],DB_TBL_DATA_FIELDS[[#This Row],[RANGE_VALUE_LEN]]&lt;=DB_TBL_DATA_FIELDS[[#This Row],[RANGE_VALIDATION_MAX]]))</f>
        <v>1</v>
      </c>
      <c r="X326" s="7">
        <v>0</v>
      </c>
      <c r="Y326" s="7" t="str">
        <f ca="1">IF(DB_TBL_DATA_FIELDS[[#This Row],[PCT_CALC_SHOW_STATUS_CODE]]=1,
DB_TBL_DATA_FIELDS[[#This Row],[FIELD_STATUS_CODE]],
IF(AND(DB_TBL_DATA_FIELDS[[#This Row],[PCT_CALC_SHOW_STATUS_CODE]]=2,DB_TBL_DATA_FIELDS[[#This Row],[FIELD_STATUS_CODE]]=0),
DB_TBL_DATA_FIELDS[[#This Row],[FIELD_STATUS_CODE]],
"")
)</f>
        <v/>
      </c>
      <c r="Z326" s="7"/>
      <c r="AA326" s="10"/>
      <c r="AB326" s="10" t="s">
        <v>3765</v>
      </c>
      <c r="AC326" s="7" t="s">
        <v>3748</v>
      </c>
    </row>
    <row r="327" spans="1:29" x14ac:dyDescent="0.2">
      <c r="A327" s="4"/>
      <c r="B327" s="4" t="s">
        <v>64</v>
      </c>
      <c r="C327" s="8" t="str">
        <f ca="1">IF($H$10&lt;&gt;"R",IF(DB_TBL_DATA_FIELDS[[#This Row],[SHEET_REF_OWNER]]&lt;&gt;"",DB_TBL_DATA_FIELDS[[#This Row],[SHEET_REF_OWNER]],""),IF(DB_TBL_DATA_FIELDS[[#This Row],[SHEET_REF_RENTAL]]&lt;&gt;"",DB_TBL_DATA_FIELDS[[#This Row],[SHEET_REF_RENTAL]],""))</f>
        <v>RentalApp</v>
      </c>
      <c r="D327" s="1" t="s">
        <v>3807</v>
      </c>
      <c r="E327" s="1" t="b">
        <v>0</v>
      </c>
      <c r="F327" s="23" t="b">
        <v>0</v>
      </c>
      <c r="G327" s="2" t="s">
        <v>3810</v>
      </c>
      <c r="H327" s="418">
        <f ca="1">IF(DB_TBL_DATA_FIELDS[[#This Row],[SHEET_REF_CALC]]="",0,MIN(20,((DATA_SCORE_TRGT_RENTAL_VLI_PCT_VARIABLE-0.2)*0.5)*100))</f>
        <v>-10</v>
      </c>
      <c r="I327" s="10"/>
      <c r="J327" s="2" t="b">
        <f ca="1">(DB_TBL_DATA_FIELDS[[#This Row],[FIELD_VALUE_RAW]]="")</f>
        <v>0</v>
      </c>
      <c r="K327" s="2" t="s">
        <v>62</v>
      </c>
      <c r="L327" s="7" t="b">
        <f>AND(IF(DB_TBL_DATA_FIELDS[[#This Row],[FIELD_VALID_CUSTOM_LOGIC]]="",TRUE,DB_TBL_DATA_FIELDS[[#This Row],[FIELD_VALID_CUSTOM_LOGIC]]),DB_TBL_DATA_FIELDS[[#This Row],[RANGE_VALIDATION_PASSED_FLAG]])</f>
        <v>1</v>
      </c>
      <c r="M327"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-10</v>
      </c>
      <c r="N327" s="7">
        <f ca="1">IF(DB_TBL_DATA_FIELDS[[#This Row],[SHEET_REF_CALC]]="","",IF(DB_TBL_DATA_FIELDS[[#This Row],[FIELD_EMPTY_FLAG]],IF(NOT(DB_TBL_DATA_FIELDS[[#This Row],[FIELD_REQ_FLAG]]),-1,1),IF(NOT(DB_TBL_DATA_FIELDS[[#This Row],[FIELD_VALID_FLAG]]),0,2)))</f>
        <v>2</v>
      </c>
      <c r="O327" s="7" t="str">
        <f ca="1">IFERROR(VLOOKUP(DB_TBL_DATA_FIELDS[[#This Row],[FIELD_STATUS_CODE]],DB_TBL_CONFIG_FIELDSTATUSCODES[#All],3,FALSE),"")</f>
        <v>OK</v>
      </c>
      <c r="P327" s="7" t="str">
        <f ca="1">IFERROR(VLOOKUP(DB_TBL_DATA_FIELDS[[#This Row],[FIELD_STATUS_CODE]],DB_TBL_CONFIG_FIELDSTATUSCODES[#All],4,FALSE),"")</f>
        <v>a</v>
      </c>
      <c r="Q327" s="7" t="b">
        <f>TRUE</f>
        <v>1</v>
      </c>
      <c r="R327" s="7" t="b">
        <v>0</v>
      </c>
      <c r="T327" s="7">
        <f ca="1">IF(DB_TBL_DATA_FIELDS[[#This Row],[RANGE_VALIDATION_FLAG]]="Text",LEN(DB_TBL_DATA_FIELDS[[#This Row],[FIELD_VALUE_RAW]]),IFERROR(VALUE(DB_TBL_DATA_FIELDS[[#This Row],[FIELD_VALUE_RAW]]),-1))</f>
        <v>-10</v>
      </c>
      <c r="U327" s="7">
        <v>0</v>
      </c>
      <c r="V327" s="7">
        <v>9999999999</v>
      </c>
      <c r="W327" s="7" t="b">
        <f>IF(NOT(DB_TBL_DATA_FIELDS[[#This Row],[RANGE_VALIDATION_ON_FLAG]]),TRUE,
AND(DB_TBL_DATA_FIELDS[[#This Row],[RANGE_VALUE_LEN]]&gt;=DB_TBL_DATA_FIELDS[[#This Row],[RANGE_VALIDATION_MIN]],DB_TBL_DATA_FIELDS[[#This Row],[RANGE_VALUE_LEN]]&lt;=DB_TBL_DATA_FIELDS[[#This Row],[RANGE_VALIDATION_MAX]]))</f>
        <v>1</v>
      </c>
      <c r="X327" s="7">
        <v>0</v>
      </c>
      <c r="Y327" s="7" t="str">
        <f ca="1">IF(DB_TBL_DATA_FIELDS[[#This Row],[PCT_CALC_SHOW_STATUS_CODE]]=1,
DB_TBL_DATA_FIELDS[[#This Row],[FIELD_STATUS_CODE]],
IF(AND(DB_TBL_DATA_FIELDS[[#This Row],[PCT_CALC_SHOW_STATUS_CODE]]=2,DB_TBL_DATA_FIELDS[[#This Row],[FIELD_STATUS_CODE]]=0),
DB_TBL_DATA_FIELDS[[#This Row],[FIELD_STATUS_CODE]],
"")
)</f>
        <v/>
      </c>
      <c r="Z327" s="7"/>
      <c r="AA327" s="10"/>
      <c r="AB327" s="10" t="s">
        <v>3765</v>
      </c>
      <c r="AC327" s="7" t="s">
        <v>3748</v>
      </c>
    </row>
    <row r="328" spans="1:29" x14ac:dyDescent="0.2">
      <c r="A328" s="4"/>
      <c r="B328" s="4" t="s">
        <v>64</v>
      </c>
      <c r="C328" s="8" t="str">
        <f ca="1">IF($H$10&lt;&gt;"R",IF(DB_TBL_DATA_FIELDS[[#This Row],[SHEET_REF_OWNER]]&lt;&gt;"",DB_TBL_DATA_FIELDS[[#This Row],[SHEET_REF_OWNER]],""),IF(DB_TBL_DATA_FIELDS[[#This Row],[SHEET_REF_RENTAL]]&lt;&gt;"",DB_TBL_DATA_FIELDS[[#This Row],[SHEET_REF_RENTAL]],""))</f>
        <v>RentalApp</v>
      </c>
      <c r="D328" s="1" t="s">
        <v>3808</v>
      </c>
      <c r="E328" s="1" t="b">
        <v>0</v>
      </c>
      <c r="F328" s="23" t="b">
        <v>0</v>
      </c>
      <c r="G328" s="2" t="s">
        <v>3811</v>
      </c>
      <c r="H328" s="418" cm="1">
        <f t="array" aca="1" ref="H328" ca="1">IF(DB_TBL_DATA_FIELDS[[#This Row],[SHEET_REF_CALC]]="",0,
100*IFERROR(SUMPRODUCT(--(H193:H204&gt;0.5),--(H193:H204&lt;&gt;""),H181:H192,H193:H204)/SUMIF(H193:H204,"&gt;.5",H181:H192),0)
)</f>
        <v>0</v>
      </c>
      <c r="I328" s="10"/>
      <c r="J328" s="2" t="b">
        <f ca="1">(DB_TBL_DATA_FIELDS[[#This Row],[FIELD_VALUE_RAW]]="")</f>
        <v>0</v>
      </c>
      <c r="K328" s="2" t="s">
        <v>62</v>
      </c>
      <c r="L328" s="7" t="b">
        <f>AND(IF(DB_TBL_DATA_FIELDS[[#This Row],[FIELD_VALID_CUSTOM_LOGIC]]="",TRUE,DB_TBL_DATA_FIELDS[[#This Row],[FIELD_VALID_CUSTOM_LOGIC]]),DB_TBL_DATA_FIELDS[[#This Row],[RANGE_VALIDATION_PASSED_FLAG]])</f>
        <v>1</v>
      </c>
      <c r="M328"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328" s="7">
        <f ca="1">IF(DB_TBL_DATA_FIELDS[[#This Row],[SHEET_REF_CALC]]="","",IF(DB_TBL_DATA_FIELDS[[#This Row],[FIELD_EMPTY_FLAG]],IF(NOT(DB_TBL_DATA_FIELDS[[#This Row],[FIELD_REQ_FLAG]]),-1,1),IF(NOT(DB_TBL_DATA_FIELDS[[#This Row],[FIELD_VALID_FLAG]]),0,2)))</f>
        <v>2</v>
      </c>
      <c r="O328" s="7" t="str">
        <f ca="1">IFERROR(VLOOKUP(DB_TBL_DATA_FIELDS[[#This Row],[FIELD_STATUS_CODE]],DB_TBL_CONFIG_FIELDSTATUSCODES[#All],3,FALSE),"")</f>
        <v>OK</v>
      </c>
      <c r="P328" s="7" t="str">
        <f ca="1">IFERROR(VLOOKUP(DB_TBL_DATA_FIELDS[[#This Row],[FIELD_STATUS_CODE]],DB_TBL_CONFIG_FIELDSTATUSCODES[#All],4,FALSE),"")</f>
        <v>a</v>
      </c>
      <c r="Q328" s="7" t="b">
        <f>TRUE</f>
        <v>1</v>
      </c>
      <c r="R328" s="7" t="b">
        <v>0</v>
      </c>
      <c r="T328" s="7">
        <f ca="1">IF(DB_TBL_DATA_FIELDS[[#This Row],[RANGE_VALIDATION_FLAG]]="Text",LEN(DB_TBL_DATA_FIELDS[[#This Row],[FIELD_VALUE_RAW]]),IFERROR(VALUE(DB_TBL_DATA_FIELDS[[#This Row],[FIELD_VALUE_RAW]]),-1))</f>
        <v>0</v>
      </c>
      <c r="U328" s="7">
        <v>0</v>
      </c>
      <c r="V328" s="7">
        <v>9999999999</v>
      </c>
      <c r="W328" s="7" t="b">
        <f>IF(NOT(DB_TBL_DATA_FIELDS[[#This Row],[RANGE_VALIDATION_ON_FLAG]]),TRUE,
AND(DB_TBL_DATA_FIELDS[[#This Row],[RANGE_VALUE_LEN]]&gt;=DB_TBL_DATA_FIELDS[[#This Row],[RANGE_VALIDATION_MIN]],DB_TBL_DATA_FIELDS[[#This Row],[RANGE_VALUE_LEN]]&lt;=DB_TBL_DATA_FIELDS[[#This Row],[RANGE_VALIDATION_MAX]]))</f>
        <v>1</v>
      </c>
      <c r="X328" s="7">
        <v>0</v>
      </c>
      <c r="Y328" s="7" t="str">
        <f ca="1">IF(DB_TBL_DATA_FIELDS[[#This Row],[PCT_CALC_SHOW_STATUS_CODE]]=1,
DB_TBL_DATA_FIELDS[[#This Row],[FIELD_STATUS_CODE]],
IF(AND(DB_TBL_DATA_FIELDS[[#This Row],[PCT_CALC_SHOW_STATUS_CODE]]=2,DB_TBL_DATA_FIELDS[[#This Row],[FIELD_STATUS_CODE]]=0),
DB_TBL_DATA_FIELDS[[#This Row],[FIELD_STATUS_CODE]],
"")
)</f>
        <v/>
      </c>
      <c r="Z328" s="7"/>
      <c r="AA328" s="10"/>
      <c r="AB328" s="10" t="s">
        <v>3765</v>
      </c>
      <c r="AC328" s="7" t="s">
        <v>3748</v>
      </c>
    </row>
    <row r="329" spans="1:29" x14ac:dyDescent="0.2">
      <c r="A329" s="4"/>
      <c r="B329" s="4" t="s">
        <v>64</v>
      </c>
      <c r="C329" s="8" t="str">
        <f ca="1">IF($H$10&lt;&gt;"R",IF(DB_TBL_DATA_FIELDS[[#This Row],[SHEET_REF_OWNER]]&lt;&gt;"",DB_TBL_DATA_FIELDS[[#This Row],[SHEET_REF_OWNER]],""),IF(DB_TBL_DATA_FIELDS[[#This Row],[SHEET_REF_RENTAL]]&lt;&gt;"",DB_TBL_DATA_FIELDS[[#This Row],[SHEET_REF_RENTAL]],""))</f>
        <v>RentalApp</v>
      </c>
      <c r="D329" s="1" t="s">
        <v>3809</v>
      </c>
      <c r="E329" s="1" t="b">
        <v>0</v>
      </c>
      <c r="F329" s="23" t="b">
        <v>0</v>
      </c>
      <c r="G329" s="2" t="s">
        <v>3812</v>
      </c>
      <c r="H329" s="418">
        <f ca="1">MAX(0,IF(DB_TBL_DATA_FIELDS[[#This Row],[SHEET_REF_CALC]]="",0,
IF(DATA_SCORE_TRGT_RENTAL_BASE_VARIABLE=20,0,
((20-DATA_SCORE_TRGT_RENTAL_BASE_VARIABLE)/30)*((80-IF(DATA_SCORE_TRGT_RENTAL_WAAMIT&gt;0,DATA_SCORE_TRGT_RENTAL_WAAMIT,80))))))</f>
        <v>0</v>
      </c>
      <c r="I329" s="10"/>
      <c r="J329" s="2" t="b">
        <f ca="1">(DB_TBL_DATA_FIELDS[[#This Row],[FIELD_VALUE_RAW]]="")</f>
        <v>0</v>
      </c>
      <c r="K329" s="2" t="s">
        <v>62</v>
      </c>
      <c r="L329" s="7" t="b">
        <f>AND(IF(DB_TBL_DATA_FIELDS[[#This Row],[FIELD_VALID_CUSTOM_LOGIC]]="",TRUE,DB_TBL_DATA_FIELDS[[#This Row],[FIELD_VALID_CUSTOM_LOGIC]]),DB_TBL_DATA_FIELDS[[#This Row],[RANGE_VALIDATION_PASSED_FLAG]])</f>
        <v>1</v>
      </c>
      <c r="M329"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329" s="7">
        <f ca="1">IF(DB_TBL_DATA_FIELDS[[#This Row],[SHEET_REF_CALC]]="","",IF(DB_TBL_DATA_FIELDS[[#This Row],[FIELD_EMPTY_FLAG]],IF(NOT(DB_TBL_DATA_FIELDS[[#This Row],[FIELD_REQ_FLAG]]),-1,1),IF(NOT(DB_TBL_DATA_FIELDS[[#This Row],[FIELD_VALID_FLAG]]),0,2)))</f>
        <v>2</v>
      </c>
      <c r="O329" s="7" t="str">
        <f ca="1">IFERROR(VLOOKUP(DB_TBL_DATA_FIELDS[[#This Row],[FIELD_STATUS_CODE]],DB_TBL_CONFIG_FIELDSTATUSCODES[#All],3,FALSE),"")</f>
        <v>OK</v>
      </c>
      <c r="P329" s="7" t="str">
        <f ca="1">IFERROR(VLOOKUP(DB_TBL_DATA_FIELDS[[#This Row],[FIELD_STATUS_CODE]],DB_TBL_CONFIG_FIELDSTATUSCODES[#All],4,FALSE),"")</f>
        <v>a</v>
      </c>
      <c r="Q329" s="7" t="b">
        <f>TRUE</f>
        <v>1</v>
      </c>
      <c r="R329" s="7" t="b">
        <v>0</v>
      </c>
      <c r="T329" s="7">
        <f ca="1">IF(DB_TBL_DATA_FIELDS[[#This Row],[RANGE_VALIDATION_FLAG]]="Text",LEN(DB_TBL_DATA_FIELDS[[#This Row],[FIELD_VALUE_RAW]]),IFERROR(VALUE(DB_TBL_DATA_FIELDS[[#This Row],[FIELD_VALUE_RAW]]),-1))</f>
        <v>0</v>
      </c>
      <c r="U329" s="7">
        <v>0</v>
      </c>
      <c r="V329" s="7">
        <v>9999999999</v>
      </c>
      <c r="W329" s="7" t="b">
        <f>IF(NOT(DB_TBL_DATA_FIELDS[[#This Row],[RANGE_VALIDATION_ON_FLAG]]),TRUE,
AND(DB_TBL_DATA_FIELDS[[#This Row],[RANGE_VALUE_LEN]]&gt;=DB_TBL_DATA_FIELDS[[#This Row],[RANGE_VALIDATION_MIN]],DB_TBL_DATA_FIELDS[[#This Row],[RANGE_VALUE_LEN]]&lt;=DB_TBL_DATA_FIELDS[[#This Row],[RANGE_VALIDATION_MAX]]))</f>
        <v>1</v>
      </c>
      <c r="X329" s="7">
        <v>0</v>
      </c>
      <c r="Y329" s="7" t="str">
        <f ca="1">IF(DB_TBL_DATA_FIELDS[[#This Row],[PCT_CALC_SHOW_STATUS_CODE]]=1,
DB_TBL_DATA_FIELDS[[#This Row],[FIELD_STATUS_CODE]],
IF(AND(DB_TBL_DATA_FIELDS[[#This Row],[PCT_CALC_SHOW_STATUS_CODE]]=2,DB_TBL_DATA_FIELDS[[#This Row],[FIELD_STATUS_CODE]]=0),
DB_TBL_DATA_FIELDS[[#This Row],[FIELD_STATUS_CODE]],
"")
)</f>
        <v/>
      </c>
      <c r="Z329" s="7"/>
      <c r="AA329" s="10"/>
      <c r="AB329" s="10" t="s">
        <v>3765</v>
      </c>
      <c r="AC329" s="7" t="s">
        <v>3748</v>
      </c>
    </row>
    <row r="330" spans="1:29" x14ac:dyDescent="0.2">
      <c r="A330" s="4"/>
      <c r="B330" s="4" t="s">
        <v>64</v>
      </c>
      <c r="C330" s="8" t="str">
        <f ca="1">IF($H$10&lt;&gt;"R",IF(DB_TBL_DATA_FIELDS[[#This Row],[SHEET_REF_OWNER]]&lt;&gt;"",DB_TBL_DATA_FIELDS[[#This Row],[SHEET_REF_OWNER]],""),IF(DB_TBL_DATA_FIELDS[[#This Row],[SHEET_REF_RENTAL]]&lt;&gt;"",DB_TBL_DATA_FIELDS[[#This Row],[SHEET_REF_RENTAL]],""))</f>
        <v>RentalApp</v>
      </c>
      <c r="D330" s="1" t="s">
        <v>3766</v>
      </c>
      <c r="E330" s="1" t="b">
        <v>0</v>
      </c>
      <c r="F330" s="23" t="b">
        <v>0</v>
      </c>
      <c r="G330" s="2" t="s">
        <v>3806</v>
      </c>
      <c r="H330" s="418">
        <f ca="1">IF(OR(DATA_SCORE_TRGT_RENTAL_VLI_PCT_VARIABLE="",DB_TBL_DATA_FIELDS[[#This Row],[SHEET_REF_CALC]]=""),0,
IF(DATA_SCORE_TRGT_RENTAL_VLI_PCT_VARIABLE&lt;0.2,0,
IF(DATA_SCORE_TRGT_RENTAL_VLI_PCT_VARIABLE&gt;=0.6,20,DATA_SCORE_TRGT_RENTAL_BASE_VARIABLE+DATA_SCORE_TRGT_ENTAL_ADJUSTMENT)))</f>
        <v>0</v>
      </c>
      <c r="I330" s="10"/>
      <c r="J330" s="2" t="b">
        <f ca="1">(DB_TBL_DATA_FIELDS[[#This Row],[FIELD_VALUE_RAW]]="")</f>
        <v>0</v>
      </c>
      <c r="K330" s="2" t="s">
        <v>62</v>
      </c>
      <c r="L330" s="7" t="b">
        <f>AND(IF(DB_TBL_DATA_FIELDS[[#This Row],[FIELD_VALID_CUSTOM_LOGIC]]="",TRUE,DB_TBL_DATA_FIELDS[[#This Row],[FIELD_VALID_CUSTOM_LOGIC]]),DB_TBL_DATA_FIELDS[[#This Row],[RANGE_VALIDATION_PASSED_FLAG]])</f>
        <v>1</v>
      </c>
      <c r="M330"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330" s="7">
        <f ca="1">IF(DB_TBL_DATA_FIELDS[[#This Row],[SHEET_REF_CALC]]="","",IF(DB_TBL_DATA_FIELDS[[#This Row],[FIELD_EMPTY_FLAG]],IF(NOT(DB_TBL_DATA_FIELDS[[#This Row],[FIELD_REQ_FLAG]]),-1,1),IF(NOT(DB_TBL_DATA_FIELDS[[#This Row],[FIELD_VALID_FLAG]]),0,2)))</f>
        <v>2</v>
      </c>
      <c r="O330" s="7" t="str">
        <f ca="1">IFERROR(VLOOKUP(DB_TBL_DATA_FIELDS[[#This Row],[FIELD_STATUS_CODE]],DB_TBL_CONFIG_FIELDSTATUSCODES[#All],3,FALSE),"")</f>
        <v>OK</v>
      </c>
      <c r="P330" s="7" t="str">
        <f ca="1">IFERROR(VLOOKUP(DB_TBL_DATA_FIELDS[[#This Row],[FIELD_STATUS_CODE]],DB_TBL_CONFIG_FIELDSTATUSCODES[#All],4,FALSE),"")</f>
        <v>a</v>
      </c>
      <c r="Q330" s="7" t="b">
        <f>TRUE</f>
        <v>1</v>
      </c>
      <c r="R330" s="7" t="b">
        <v>0</v>
      </c>
      <c r="T330" s="7">
        <f ca="1">IF(DB_TBL_DATA_FIELDS[[#This Row],[RANGE_VALIDATION_FLAG]]="Text",LEN(DB_TBL_DATA_FIELDS[[#This Row],[FIELD_VALUE_RAW]]),IFERROR(VALUE(DB_TBL_DATA_FIELDS[[#This Row],[FIELD_VALUE_RAW]]),-1))</f>
        <v>0</v>
      </c>
      <c r="U330" s="7">
        <v>0</v>
      </c>
      <c r="V330" s="7">
        <v>9999999999</v>
      </c>
      <c r="W330" s="7" t="b">
        <f>IF(NOT(DB_TBL_DATA_FIELDS[[#This Row],[RANGE_VALIDATION_ON_FLAG]]),TRUE,
AND(DB_TBL_DATA_FIELDS[[#This Row],[RANGE_VALUE_LEN]]&gt;=DB_TBL_DATA_FIELDS[[#This Row],[RANGE_VALIDATION_MIN]],DB_TBL_DATA_FIELDS[[#This Row],[RANGE_VALUE_LEN]]&lt;=DB_TBL_DATA_FIELDS[[#This Row],[RANGE_VALIDATION_MAX]]))</f>
        <v>1</v>
      </c>
      <c r="X330" s="7">
        <v>0</v>
      </c>
      <c r="Y330" s="7" t="str">
        <f ca="1">IF(DB_TBL_DATA_FIELDS[[#This Row],[PCT_CALC_SHOW_STATUS_CODE]]=1,
DB_TBL_DATA_FIELDS[[#This Row],[FIELD_STATUS_CODE]],
IF(AND(DB_TBL_DATA_FIELDS[[#This Row],[PCT_CALC_SHOW_STATUS_CODE]]=2,DB_TBL_DATA_FIELDS[[#This Row],[FIELD_STATUS_CODE]]=0),
DB_TBL_DATA_FIELDS[[#This Row],[FIELD_STATUS_CODE]],
"")
)</f>
        <v/>
      </c>
      <c r="Z330" s="7"/>
      <c r="AA330" s="10"/>
      <c r="AB330" s="10" t="s">
        <v>3765</v>
      </c>
      <c r="AC330" s="7" t="s">
        <v>3748</v>
      </c>
    </row>
    <row r="331" spans="1:29" x14ac:dyDescent="0.2">
      <c r="A331" s="4" t="s">
        <v>65</v>
      </c>
      <c r="B331" s="4"/>
      <c r="C331" s="8" t="str">
        <f ca="1">IF($H$10&lt;&gt;"R",IF(DB_TBL_DATA_FIELDS[[#This Row],[SHEET_REF_OWNER]]&lt;&gt;"",DB_TBL_DATA_FIELDS[[#This Row],[SHEET_REF_OWNER]],""),IF(DB_TBL_DATA_FIELDS[[#This Row],[SHEET_REF_RENTAL]]&lt;&gt;"",DB_TBL_DATA_FIELDS[[#This Row],[SHEET_REF_RENTAL]],""))</f>
        <v/>
      </c>
      <c r="D331" s="1" t="s">
        <v>3767</v>
      </c>
      <c r="E331" s="1" t="b">
        <v>0</v>
      </c>
      <c r="F331" s="23" t="b">
        <v>0</v>
      </c>
      <c r="G331" s="2" t="s">
        <v>3813</v>
      </c>
      <c r="H331" s="418">
        <f ca="1">IF(OR(DB_TBL_DATA_FIELDS[[#This Row],[SHEET_REF_CALC]]="",DATA_TOTAL_UNITS=""),0,
IF(SUMIF(H193:H204,"&lt;=.65",H181:H192)/DATA_TOTAL_UNITS&gt;=0.2,20,18)
)</f>
        <v>0</v>
      </c>
      <c r="I331" s="10"/>
      <c r="J331" s="2" t="b">
        <f ca="1">(DB_TBL_DATA_FIELDS[[#This Row],[FIELD_VALUE_RAW]]="")</f>
        <v>0</v>
      </c>
      <c r="K331" s="2" t="s">
        <v>62</v>
      </c>
      <c r="L331" s="7" t="b">
        <f>AND(IF(DB_TBL_DATA_FIELDS[[#This Row],[FIELD_VALID_CUSTOM_LOGIC]]="",TRUE,DB_TBL_DATA_FIELDS[[#This Row],[FIELD_VALID_CUSTOM_LOGIC]]),DB_TBL_DATA_FIELDS[[#This Row],[RANGE_VALIDATION_PASSED_FLAG]])</f>
        <v>1</v>
      </c>
      <c r="M331"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331" s="7" t="str">
        <f ca="1">IF(DB_TBL_DATA_FIELDS[[#This Row],[SHEET_REF_CALC]]="","",IF(DB_TBL_DATA_FIELDS[[#This Row],[FIELD_EMPTY_FLAG]],IF(NOT(DB_TBL_DATA_FIELDS[[#This Row],[FIELD_REQ_FLAG]]),-1,1),IF(NOT(DB_TBL_DATA_FIELDS[[#This Row],[FIELD_VALID_FLAG]]),0,2)))</f>
        <v/>
      </c>
      <c r="O331" s="7" t="str">
        <f ca="1">IFERROR(VLOOKUP(DB_TBL_DATA_FIELDS[[#This Row],[FIELD_STATUS_CODE]],DB_TBL_CONFIG_FIELDSTATUSCODES[#All],3,FALSE),"")</f>
        <v/>
      </c>
      <c r="P331" s="7" t="str">
        <f ca="1">IFERROR(VLOOKUP(DB_TBL_DATA_FIELDS[[#This Row],[FIELD_STATUS_CODE]],DB_TBL_CONFIG_FIELDSTATUSCODES[#All],4,FALSE),"")</f>
        <v/>
      </c>
      <c r="Q331" s="7" t="b">
        <f>TRUE</f>
        <v>1</v>
      </c>
      <c r="R331" s="7" t="b">
        <v>0</v>
      </c>
      <c r="T331" s="7">
        <f ca="1">IF(DB_TBL_DATA_FIELDS[[#This Row],[RANGE_VALIDATION_FLAG]]="Text",LEN(DB_TBL_DATA_FIELDS[[#This Row],[FIELD_VALUE_RAW]]),IFERROR(VALUE(DB_TBL_DATA_FIELDS[[#This Row],[FIELD_VALUE_RAW]]),-1))</f>
        <v>0</v>
      </c>
      <c r="U331" s="7">
        <v>0</v>
      </c>
      <c r="V331" s="7">
        <v>9999999999</v>
      </c>
      <c r="W331" s="7" t="b">
        <f>IF(NOT(DB_TBL_DATA_FIELDS[[#This Row],[RANGE_VALIDATION_ON_FLAG]]),TRUE,
AND(DB_TBL_DATA_FIELDS[[#This Row],[RANGE_VALUE_LEN]]&gt;=DB_TBL_DATA_FIELDS[[#This Row],[RANGE_VALIDATION_MIN]],DB_TBL_DATA_FIELDS[[#This Row],[RANGE_VALUE_LEN]]&lt;=DB_TBL_DATA_FIELDS[[#This Row],[RANGE_VALIDATION_MAX]]))</f>
        <v>1</v>
      </c>
      <c r="X331" s="7">
        <v>0</v>
      </c>
      <c r="Y331" s="7" t="str">
        <f ca="1">IF(DB_TBL_DATA_FIELDS[[#This Row],[PCT_CALC_SHOW_STATUS_CODE]]=1,
DB_TBL_DATA_FIELDS[[#This Row],[FIELD_STATUS_CODE]],
IF(AND(DB_TBL_DATA_FIELDS[[#This Row],[PCT_CALC_SHOW_STATUS_CODE]]=2,DB_TBL_DATA_FIELDS[[#This Row],[FIELD_STATUS_CODE]]=0),
DB_TBL_DATA_FIELDS[[#This Row],[FIELD_STATUS_CODE]],
"")
)</f>
        <v/>
      </c>
      <c r="Z331" s="7"/>
      <c r="AA331" s="10"/>
      <c r="AB331" s="10" t="s">
        <v>3765</v>
      </c>
      <c r="AC331" s="7" t="s">
        <v>3748</v>
      </c>
    </row>
    <row r="332" spans="1:29" x14ac:dyDescent="0.2">
      <c r="A332" s="4" t="s">
        <v>65</v>
      </c>
      <c r="B332" s="4" t="s">
        <v>64</v>
      </c>
      <c r="C332" s="8" t="str">
        <f ca="1">IF($H$10&lt;&gt;"R",IF(DB_TBL_DATA_FIELDS[[#This Row],[SHEET_REF_OWNER]]&lt;&gt;"",DB_TBL_DATA_FIELDS[[#This Row],[SHEET_REF_OWNER]],""),IF(DB_TBL_DATA_FIELDS[[#This Row],[SHEET_REF_RENTAL]]&lt;&gt;"",DB_TBL_DATA_FIELDS[[#This Row],[SHEET_REF_RENTAL]],""))</f>
        <v>RentalApp</v>
      </c>
      <c r="D332" s="1" t="s">
        <v>3814</v>
      </c>
      <c r="E332" s="1" t="b">
        <v>0</v>
      </c>
      <c r="F332" s="23" t="b">
        <v>0</v>
      </c>
      <c r="G332" s="423" t="s">
        <v>3815</v>
      </c>
      <c r="H332" s="418">
        <f ca="1">MIN(20,SUM(DATA_SCORE_TRGT_RENTAL,DATA_SCORE_TRGT_OWNER))</f>
        <v>0</v>
      </c>
      <c r="I332" s="10"/>
      <c r="J332" s="2" t="b">
        <f ca="1">(DB_TBL_DATA_FIELDS[[#This Row],[FIELD_VALUE_RAW]]="")</f>
        <v>0</v>
      </c>
      <c r="K332" s="2" t="s">
        <v>62</v>
      </c>
      <c r="L332" s="7" t="b">
        <f>AND(IF(DB_TBL_DATA_FIELDS[[#This Row],[FIELD_VALID_CUSTOM_LOGIC]]="",TRUE,DB_TBL_DATA_FIELDS[[#This Row],[FIELD_VALID_CUSTOM_LOGIC]]),DB_TBL_DATA_FIELDS[[#This Row],[RANGE_VALIDATION_PASSED_FLAG]])</f>
        <v>1</v>
      </c>
      <c r="M332"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332" s="7">
        <f ca="1">IF(DB_TBL_DATA_FIELDS[[#This Row],[SHEET_REF_CALC]]="","",IF(DB_TBL_DATA_FIELDS[[#This Row],[FIELD_EMPTY_FLAG]],IF(NOT(DB_TBL_DATA_FIELDS[[#This Row],[FIELD_REQ_FLAG]]),-1,1),IF(NOT(DB_TBL_DATA_FIELDS[[#This Row],[FIELD_VALID_FLAG]]),0,2)))</f>
        <v>2</v>
      </c>
      <c r="O332" s="7" t="str">
        <f ca="1">IFERROR(VLOOKUP(DB_TBL_DATA_FIELDS[[#This Row],[FIELD_STATUS_CODE]],DB_TBL_CONFIG_FIELDSTATUSCODES[#All],3,FALSE),"")</f>
        <v>OK</v>
      </c>
      <c r="P332" s="7" t="str">
        <f ca="1">IFERROR(VLOOKUP(DB_TBL_DATA_FIELDS[[#This Row],[FIELD_STATUS_CODE]],DB_TBL_CONFIG_FIELDSTATUSCODES[#All],4,FALSE),"")</f>
        <v>a</v>
      </c>
      <c r="Q332" s="7" t="b">
        <f>TRUE</f>
        <v>1</v>
      </c>
      <c r="R332" s="7" t="b">
        <v>0</v>
      </c>
      <c r="T332" s="7">
        <f ca="1">IF(DB_TBL_DATA_FIELDS[[#This Row],[RANGE_VALIDATION_FLAG]]="Text",LEN(DB_TBL_DATA_FIELDS[[#This Row],[FIELD_VALUE_RAW]]),IFERROR(VALUE(DB_TBL_DATA_FIELDS[[#This Row],[FIELD_VALUE_RAW]]),-1))</f>
        <v>0</v>
      </c>
      <c r="U332" s="7">
        <v>0</v>
      </c>
      <c r="V332" s="7">
        <v>9999999999</v>
      </c>
      <c r="W332" s="7" t="b">
        <f>IF(NOT(DB_TBL_DATA_FIELDS[[#This Row],[RANGE_VALIDATION_ON_FLAG]]),TRUE,
AND(DB_TBL_DATA_FIELDS[[#This Row],[RANGE_VALUE_LEN]]&gt;=DB_TBL_DATA_FIELDS[[#This Row],[RANGE_VALIDATION_MIN]],DB_TBL_DATA_FIELDS[[#This Row],[RANGE_VALUE_LEN]]&lt;=DB_TBL_DATA_FIELDS[[#This Row],[RANGE_VALIDATION_MAX]]))</f>
        <v>1</v>
      </c>
      <c r="X332" s="7">
        <v>0</v>
      </c>
      <c r="Y332" s="7" t="str">
        <f ca="1">IF(DB_TBL_DATA_FIELDS[[#This Row],[PCT_CALC_SHOW_STATUS_CODE]]=1,
DB_TBL_DATA_FIELDS[[#This Row],[FIELD_STATUS_CODE]],
IF(AND(DB_TBL_DATA_FIELDS[[#This Row],[PCT_CALC_SHOW_STATUS_CODE]]=2,DB_TBL_DATA_FIELDS[[#This Row],[FIELD_STATUS_CODE]]=0),
DB_TBL_DATA_FIELDS[[#This Row],[FIELD_STATUS_CODE]],
"")
)</f>
        <v/>
      </c>
      <c r="Z332" s="7"/>
      <c r="AA332" s="10"/>
      <c r="AB332" s="10" t="s">
        <v>3765</v>
      </c>
      <c r="AC332" s="7" t="s">
        <v>3748</v>
      </c>
    </row>
    <row r="333" spans="1:29" ht="13.5" thickBot="1" x14ac:dyDescent="0.25">
      <c r="A333" s="67" t="s">
        <v>65</v>
      </c>
      <c r="B333" s="67" t="s">
        <v>64</v>
      </c>
      <c r="C333" s="68" t="str">
        <f ca="1">IF($H$10&lt;&gt;"R",IF(DB_TBL_DATA_FIELDS[[#This Row],[SHEET_REF_OWNER]]&lt;&gt;"",DB_TBL_DATA_FIELDS[[#This Row],[SHEET_REF_OWNER]],""),IF(DB_TBL_DATA_FIELDS[[#This Row],[SHEET_REF_RENTAL]]&lt;&gt;"",DB_TBL_DATA_FIELDS[[#This Row],[SHEET_REF_RENTAL]],""))</f>
        <v>RentalApp</v>
      </c>
      <c r="D333" s="67" t="s">
        <v>3816</v>
      </c>
      <c r="E333" s="67" t="b">
        <v>0</v>
      </c>
      <c r="F333" s="71" t="b">
        <v>0</v>
      </c>
      <c r="G333" s="425" t="s">
        <v>3817</v>
      </c>
      <c r="H333" s="426">
        <f ca="1">SUM(DATA_SCORE_DONATEDCONVEYED_FINAL,DATA_SCORE_NONPROFSPONS_FINAL,DATA_SCORE_HOMEPURCHASE_FINAL,DATA_SCORE_HOMELESS_FINAL,DATA_SCORE_SPECIALNEEDS_FINAL,DATA_SCORE_LARGEUNITS_FINAL,DATA_SCORE_RURAL_FINAL,DATA_SCORE_EMPOWERMENT_FINAL,DATA_SCORE_COMMSTAB_FINAL,DATA_SCORE_PROJREADY_FINAL,DATA_SCORE_INDISTRICT_FINAL,DATA_SCORE_SPU_FINAL,DATA_SCORE_TRGT_FINAL)</f>
        <v>0</v>
      </c>
      <c r="I333" s="73"/>
      <c r="J333" s="72" t="b">
        <f ca="1">(DB_TBL_DATA_FIELDS[[#This Row],[FIELD_VALUE_RAW]]="")</f>
        <v>0</v>
      </c>
      <c r="K333" s="72" t="s">
        <v>62</v>
      </c>
      <c r="L333" s="68" t="b">
        <f>AND(IF(DB_TBL_DATA_FIELDS[[#This Row],[FIELD_VALID_CUSTOM_LOGIC]]="",TRUE,DB_TBL_DATA_FIELDS[[#This Row],[FIELD_VALID_CUSTOM_LOGIC]]),DB_TBL_DATA_FIELDS[[#This Row],[RANGE_VALIDATION_PASSED_FLAG]])</f>
        <v>1</v>
      </c>
      <c r="M333" s="73">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333" s="68">
        <f ca="1">IF(DB_TBL_DATA_FIELDS[[#This Row],[SHEET_REF_CALC]]="","",IF(DB_TBL_DATA_FIELDS[[#This Row],[FIELD_EMPTY_FLAG]],IF(NOT(DB_TBL_DATA_FIELDS[[#This Row],[FIELD_REQ_FLAG]]),-1,1),IF(NOT(DB_TBL_DATA_FIELDS[[#This Row],[FIELD_VALID_FLAG]]),0,2)))</f>
        <v>2</v>
      </c>
      <c r="O333" s="68" t="str">
        <f ca="1">IFERROR(VLOOKUP(DB_TBL_DATA_FIELDS[[#This Row],[FIELD_STATUS_CODE]],DB_TBL_CONFIG_FIELDSTATUSCODES[#All],3,FALSE),"")</f>
        <v>OK</v>
      </c>
      <c r="P333" s="68" t="str">
        <f ca="1">IFERROR(VLOOKUP(DB_TBL_DATA_FIELDS[[#This Row],[FIELD_STATUS_CODE]],DB_TBL_CONFIG_FIELDSTATUSCODES[#All],4,FALSE),"")</f>
        <v>a</v>
      </c>
      <c r="Q333" s="68" t="b">
        <f>TRUE</f>
        <v>1</v>
      </c>
      <c r="R333" s="68" t="b">
        <v>0</v>
      </c>
      <c r="S333" s="67"/>
      <c r="T333" s="68">
        <f ca="1">IF(DB_TBL_DATA_FIELDS[[#This Row],[RANGE_VALIDATION_FLAG]]="Text",LEN(DB_TBL_DATA_FIELDS[[#This Row],[FIELD_VALUE_RAW]]),IFERROR(VALUE(DB_TBL_DATA_FIELDS[[#This Row],[FIELD_VALUE_RAW]]),-1))</f>
        <v>0</v>
      </c>
      <c r="U333" s="68">
        <v>0</v>
      </c>
      <c r="V333" s="68">
        <v>9999999999</v>
      </c>
      <c r="W333" s="68" t="b">
        <f>IF(NOT(DB_TBL_DATA_FIELDS[[#This Row],[RANGE_VALIDATION_ON_FLAG]]),TRUE,
AND(DB_TBL_DATA_FIELDS[[#This Row],[RANGE_VALUE_LEN]]&gt;=DB_TBL_DATA_FIELDS[[#This Row],[RANGE_VALIDATION_MIN]],DB_TBL_DATA_FIELDS[[#This Row],[RANGE_VALUE_LEN]]&lt;=DB_TBL_DATA_FIELDS[[#This Row],[RANGE_VALIDATION_MAX]]))</f>
        <v>1</v>
      </c>
      <c r="X333" s="68">
        <v>0</v>
      </c>
      <c r="Y333" s="68" t="str">
        <f ca="1">IF(DB_TBL_DATA_FIELDS[[#This Row],[PCT_CALC_SHOW_STATUS_CODE]]=1,
DB_TBL_DATA_FIELDS[[#This Row],[FIELD_STATUS_CODE]],
IF(AND(DB_TBL_DATA_FIELDS[[#This Row],[PCT_CALC_SHOW_STATUS_CODE]]=2,DB_TBL_DATA_FIELDS[[#This Row],[FIELD_STATUS_CODE]]=0),
DB_TBL_DATA_FIELDS[[#This Row],[FIELD_STATUS_CODE]],
"")
)</f>
        <v/>
      </c>
      <c r="Z333" s="68"/>
      <c r="AA333" s="73"/>
      <c r="AB333" s="73" t="s">
        <v>3765</v>
      </c>
      <c r="AC333" s="68" t="s">
        <v>3748</v>
      </c>
    </row>
    <row r="334" spans="1:29" x14ac:dyDescent="0.2">
      <c r="A334" s="4" t="s">
        <v>65</v>
      </c>
      <c r="B334" s="4" t="s">
        <v>64</v>
      </c>
      <c r="C334" s="8" t="str">
        <f ca="1">IF($H$10&lt;&gt;"R",IF(DB_TBL_DATA_FIELDS[[#This Row],[SHEET_REF_OWNER]]&lt;&gt;"",DB_TBL_DATA_FIELDS[[#This Row],[SHEET_REF_OWNER]],""),IF(DB_TBL_DATA_FIELDS[[#This Row],[SHEET_REF_RENTAL]]&lt;&gt;"",DB_TBL_DATA_FIELDS[[#This Row],[SHEET_REF_RENTAL]],""))</f>
        <v>RentalApp</v>
      </c>
      <c r="D334" s="1" t="s">
        <v>3831</v>
      </c>
      <c r="E334" s="1" t="b">
        <v>0</v>
      </c>
      <c r="F334" s="427" t="b">
        <v>1</v>
      </c>
      <c r="G334" s="2" t="s">
        <v>3835</v>
      </c>
      <c r="H334" s="418" t="str">
        <f ca="1">IF($H$10="R",DATA_INCOME_RESTRICTED_UNITS,DATA_TOTAL_UNITS)</f>
        <v/>
      </c>
      <c r="I334" s="10"/>
      <c r="J334" s="2" t="b">
        <f ca="1">(DB_TBL_DATA_FIELDS[[#This Row],[FIELD_VALUE_RAW]]="")</f>
        <v>1</v>
      </c>
      <c r="K334" s="2" t="s">
        <v>62</v>
      </c>
      <c r="L334" s="7" t="b">
        <f>AND(IF(DB_TBL_DATA_FIELDS[[#This Row],[FIELD_VALID_CUSTOM_LOGIC]]="",TRUE,DB_TBL_DATA_FIELDS[[#This Row],[FIELD_VALID_CUSTOM_LOGIC]]),DB_TBL_DATA_FIELDS[[#This Row],[RANGE_VALIDATION_PASSED_FLAG]])</f>
        <v>1</v>
      </c>
      <c r="M334"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34" s="7">
        <f ca="1">IF(DB_TBL_DATA_FIELDS[[#This Row],[SHEET_REF_CALC]]="","",IF(DB_TBL_DATA_FIELDS[[#This Row],[FIELD_EMPTY_FLAG]],IF(NOT(DB_TBL_DATA_FIELDS[[#This Row],[FIELD_REQ_FLAG]]),-1,1),IF(NOT(DB_TBL_DATA_FIELDS[[#This Row],[FIELD_VALID_FLAG]]),0,2)))</f>
        <v>1</v>
      </c>
      <c r="O334" s="7" t="str">
        <f ca="1">IFERROR(VLOOKUP(DB_TBL_DATA_FIELDS[[#This Row],[FIELD_STATUS_CODE]],DB_TBL_CONFIG_FIELDSTATUSCODES[#All],3,FALSE),"")</f>
        <v>Required</v>
      </c>
      <c r="P334" s="7" t="str">
        <f ca="1">IFERROR(VLOOKUP(DB_TBL_DATA_FIELDS[[#This Row],[FIELD_STATUS_CODE]],DB_TBL_CONFIG_FIELDSTATUSCODES[#All],4,FALSE),"")</f>
        <v>i</v>
      </c>
      <c r="Q334" s="7" t="b">
        <f>TRUE</f>
        <v>1</v>
      </c>
      <c r="R334" s="7" t="b">
        <v>0</v>
      </c>
      <c r="T334" s="7">
        <f ca="1">IF(DB_TBL_DATA_FIELDS[[#This Row],[RANGE_VALIDATION_FLAG]]="Text",LEN(DB_TBL_DATA_FIELDS[[#This Row],[FIELD_VALUE_RAW]]),IFERROR(VALUE(DB_TBL_DATA_FIELDS[[#This Row],[FIELD_VALUE_RAW]]),-1))</f>
        <v>-1</v>
      </c>
      <c r="U334" s="7">
        <v>0</v>
      </c>
      <c r="V334" s="7">
        <v>9999999999</v>
      </c>
      <c r="W334" s="7" t="b">
        <f>IF(NOT(DB_TBL_DATA_FIELDS[[#This Row],[RANGE_VALIDATION_ON_FLAG]]),TRUE,
AND(DB_TBL_DATA_FIELDS[[#This Row],[RANGE_VALUE_LEN]]&gt;=DB_TBL_DATA_FIELDS[[#This Row],[RANGE_VALIDATION_MIN]],DB_TBL_DATA_FIELDS[[#This Row],[RANGE_VALUE_LEN]]&lt;=DB_TBL_DATA_FIELDS[[#This Row],[RANGE_VALIDATION_MAX]]))</f>
        <v>1</v>
      </c>
      <c r="X334" s="7">
        <v>1</v>
      </c>
      <c r="Y334" s="7">
        <f ca="1">IF(DB_TBL_DATA_FIELDS[[#This Row],[PCT_CALC_SHOW_STATUS_CODE]]=1,
DB_TBL_DATA_FIELDS[[#This Row],[FIELD_STATUS_CODE]],
IF(AND(DB_TBL_DATA_FIELDS[[#This Row],[PCT_CALC_SHOW_STATUS_CODE]]=2,DB_TBL_DATA_FIELDS[[#This Row],[FIELD_STATUS_CODE]]=0),
DB_TBL_DATA_FIELDS[[#This Row],[FIELD_STATUS_CODE]],
"")
)</f>
        <v>1</v>
      </c>
      <c r="Z334" s="7"/>
      <c r="AA334" s="10"/>
      <c r="AB334" s="10" t="s">
        <v>3829</v>
      </c>
      <c r="AC334" s="7" t="s">
        <v>3830</v>
      </c>
    </row>
    <row r="335" spans="1:29" x14ac:dyDescent="0.2">
      <c r="A335" s="4" t="s">
        <v>65</v>
      </c>
      <c r="B335" s="4" t="s">
        <v>64</v>
      </c>
      <c r="C335" s="8" t="str">
        <f ca="1">IF($H$10&lt;&gt;"R",IF(DB_TBL_DATA_FIELDS[[#This Row],[SHEET_REF_OWNER]]&lt;&gt;"",DB_TBL_DATA_FIELDS[[#This Row],[SHEET_REF_OWNER]],""),IF(DB_TBL_DATA_FIELDS[[#This Row],[SHEET_REF_RENTAL]]&lt;&gt;"",DB_TBL_DATA_FIELDS[[#This Row],[SHEET_REF_RENTAL]],""))</f>
        <v>RentalApp</v>
      </c>
      <c r="D335" s="1" t="s">
        <v>3832</v>
      </c>
      <c r="E335" s="1" t="b">
        <v>0</v>
      </c>
      <c r="F335" s="427" t="b">
        <v>1</v>
      </c>
      <c r="G335" s="2" t="s">
        <v>3836</v>
      </c>
      <c r="H335" s="418" t="str">
        <f ca="1">IF(DATA_DIR_SUB_AMT&lt;&gt;"",DATA_DIR_SUB_AMT,DATA_ADV_AMT)</f>
        <v/>
      </c>
      <c r="I335" s="10"/>
      <c r="J335" s="2" t="b">
        <f ca="1">(DB_TBL_DATA_FIELDS[[#This Row],[FIELD_VALUE_RAW]]="")</f>
        <v>1</v>
      </c>
      <c r="K335" s="2" t="s">
        <v>62</v>
      </c>
      <c r="L335" s="7" t="b">
        <f>AND(IF(DB_TBL_DATA_FIELDS[[#This Row],[FIELD_VALID_CUSTOM_LOGIC]]="",TRUE,DB_TBL_DATA_FIELDS[[#This Row],[FIELD_VALID_CUSTOM_LOGIC]]),DB_TBL_DATA_FIELDS[[#This Row],[RANGE_VALIDATION_PASSED_FLAG]])</f>
        <v>1</v>
      </c>
      <c r="M335"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35" s="7">
        <f ca="1">IF(DB_TBL_DATA_FIELDS[[#This Row],[SHEET_REF_CALC]]="","",IF(DB_TBL_DATA_FIELDS[[#This Row],[FIELD_EMPTY_FLAG]],IF(NOT(DB_TBL_DATA_FIELDS[[#This Row],[FIELD_REQ_FLAG]]),-1,1),IF(NOT(DB_TBL_DATA_FIELDS[[#This Row],[FIELD_VALID_FLAG]]),0,2)))</f>
        <v>1</v>
      </c>
      <c r="O335" s="7" t="str">
        <f ca="1">IFERROR(VLOOKUP(DB_TBL_DATA_FIELDS[[#This Row],[FIELD_STATUS_CODE]],DB_TBL_CONFIG_FIELDSTATUSCODES[#All],3,FALSE),"")</f>
        <v>Required</v>
      </c>
      <c r="P335" s="7" t="str">
        <f ca="1">IFERROR(VLOOKUP(DB_TBL_DATA_FIELDS[[#This Row],[FIELD_STATUS_CODE]],DB_TBL_CONFIG_FIELDSTATUSCODES[#All],4,FALSE),"")</f>
        <v>i</v>
      </c>
      <c r="Q335" s="7" t="b">
        <f>TRUE</f>
        <v>1</v>
      </c>
      <c r="R335" s="7" t="b">
        <v>0</v>
      </c>
      <c r="T335" s="7">
        <f ca="1">IF(DB_TBL_DATA_FIELDS[[#This Row],[RANGE_VALIDATION_FLAG]]="Text",LEN(DB_TBL_DATA_FIELDS[[#This Row],[FIELD_VALUE_RAW]]),IFERROR(VALUE(DB_TBL_DATA_FIELDS[[#This Row],[FIELD_VALUE_RAW]]),-1))</f>
        <v>-1</v>
      </c>
      <c r="U335" s="7">
        <v>0</v>
      </c>
      <c r="V335" s="7">
        <v>9999999999</v>
      </c>
      <c r="W335" s="7" t="b">
        <f>IF(NOT(DB_TBL_DATA_FIELDS[[#This Row],[RANGE_VALIDATION_ON_FLAG]]),TRUE,
AND(DB_TBL_DATA_FIELDS[[#This Row],[RANGE_VALUE_LEN]]&gt;=DB_TBL_DATA_FIELDS[[#This Row],[RANGE_VALIDATION_MIN]],DB_TBL_DATA_FIELDS[[#This Row],[RANGE_VALUE_LEN]]&lt;=DB_TBL_DATA_FIELDS[[#This Row],[RANGE_VALIDATION_MAX]]))</f>
        <v>1</v>
      </c>
      <c r="X335" s="7">
        <v>1</v>
      </c>
      <c r="Y335" s="7">
        <f ca="1">IF(DB_TBL_DATA_FIELDS[[#This Row],[PCT_CALC_SHOW_STATUS_CODE]]=1,
DB_TBL_DATA_FIELDS[[#This Row],[FIELD_STATUS_CODE]],
IF(AND(DB_TBL_DATA_FIELDS[[#This Row],[PCT_CALC_SHOW_STATUS_CODE]]=2,DB_TBL_DATA_FIELDS[[#This Row],[FIELD_STATUS_CODE]]=0),
DB_TBL_DATA_FIELDS[[#This Row],[FIELD_STATUS_CODE]],
"")
)</f>
        <v>1</v>
      </c>
      <c r="Z335" s="7"/>
      <c r="AA335" s="10"/>
      <c r="AB335" s="10" t="s">
        <v>3829</v>
      </c>
      <c r="AC335" s="7" t="s">
        <v>3830</v>
      </c>
    </row>
    <row r="336" spans="1:29" x14ac:dyDescent="0.2">
      <c r="A336" s="4" t="s">
        <v>65</v>
      </c>
      <c r="B336" s="4" t="s">
        <v>64</v>
      </c>
      <c r="C336" s="8" t="str">
        <f ca="1">IF($H$10&lt;&gt;"R",IF(DB_TBL_DATA_FIELDS[[#This Row],[SHEET_REF_OWNER]]&lt;&gt;"",DB_TBL_DATA_FIELDS[[#This Row],[SHEET_REF_OWNER]],""),IF(DB_TBL_DATA_FIELDS[[#This Row],[SHEET_REF_RENTAL]]&lt;&gt;"",DB_TBL_DATA_FIELDS[[#This Row],[SHEET_REF_RENTAL]],""))</f>
        <v>RentalApp</v>
      </c>
      <c r="D336" s="1" t="s">
        <v>3833</v>
      </c>
      <c r="E336" s="1" t="b">
        <v>0</v>
      </c>
      <c r="F336" s="427" t="b">
        <v>1</v>
      </c>
      <c r="G336" s="2" t="s">
        <v>3837</v>
      </c>
      <c r="H336" s="418" t="str">
        <f ca="1">IF(AND(H335&lt;&gt;"",H334&lt;&gt;""),IFERROR(H335/H334,0),"")</f>
        <v/>
      </c>
      <c r="I336" s="10"/>
      <c r="J336" s="2" t="b">
        <f ca="1">(DB_TBL_DATA_FIELDS[[#This Row],[FIELD_VALUE_RAW]]="")</f>
        <v>1</v>
      </c>
      <c r="K336" s="2" t="s">
        <v>62</v>
      </c>
      <c r="L336" s="7" t="b">
        <f>AND(IF(DB_TBL_DATA_FIELDS[[#This Row],[FIELD_VALID_CUSTOM_LOGIC]]="",TRUE,DB_TBL_DATA_FIELDS[[#This Row],[FIELD_VALID_CUSTOM_LOGIC]]),DB_TBL_DATA_FIELDS[[#This Row],[RANGE_VALIDATION_PASSED_FLAG]])</f>
        <v>1</v>
      </c>
      <c r="M336"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36" s="7">
        <f ca="1">IF(DB_TBL_DATA_FIELDS[[#This Row],[SHEET_REF_CALC]]="","",IF(DB_TBL_DATA_FIELDS[[#This Row],[FIELD_EMPTY_FLAG]],IF(NOT(DB_TBL_DATA_FIELDS[[#This Row],[FIELD_REQ_FLAG]]),-1,1),IF(NOT(DB_TBL_DATA_FIELDS[[#This Row],[FIELD_VALID_FLAG]]),0,2)))</f>
        <v>1</v>
      </c>
      <c r="O336" s="7" t="str">
        <f ca="1">IFERROR(VLOOKUP(DB_TBL_DATA_FIELDS[[#This Row],[FIELD_STATUS_CODE]],DB_TBL_CONFIG_FIELDSTATUSCODES[#All],3,FALSE),"")</f>
        <v>Required</v>
      </c>
      <c r="P336" s="7" t="str">
        <f ca="1">IFERROR(VLOOKUP(DB_TBL_DATA_FIELDS[[#This Row],[FIELD_STATUS_CODE]],DB_TBL_CONFIG_FIELDSTATUSCODES[#All],4,FALSE),"")</f>
        <v>i</v>
      </c>
      <c r="Q336" s="7" t="b">
        <f>TRUE</f>
        <v>1</v>
      </c>
      <c r="R336" s="7" t="b">
        <v>0</v>
      </c>
      <c r="T336" s="7">
        <f ca="1">IF(DB_TBL_DATA_FIELDS[[#This Row],[RANGE_VALIDATION_FLAG]]="Text",LEN(DB_TBL_DATA_FIELDS[[#This Row],[FIELD_VALUE_RAW]]),IFERROR(VALUE(DB_TBL_DATA_FIELDS[[#This Row],[FIELD_VALUE_RAW]]),-1))</f>
        <v>-1</v>
      </c>
      <c r="U336" s="7">
        <v>0</v>
      </c>
      <c r="V336" s="7">
        <v>9999999999</v>
      </c>
      <c r="W336" s="7" t="b">
        <f>IF(NOT(DB_TBL_DATA_FIELDS[[#This Row],[RANGE_VALIDATION_ON_FLAG]]),TRUE,
AND(DB_TBL_DATA_FIELDS[[#This Row],[RANGE_VALUE_LEN]]&gt;=DB_TBL_DATA_FIELDS[[#This Row],[RANGE_VALIDATION_MIN]],DB_TBL_DATA_FIELDS[[#This Row],[RANGE_VALUE_LEN]]&lt;=DB_TBL_DATA_FIELDS[[#This Row],[RANGE_VALIDATION_MAX]]))</f>
        <v>1</v>
      </c>
      <c r="X336" s="7">
        <v>1</v>
      </c>
      <c r="Y336" s="7">
        <f ca="1">IF(DB_TBL_DATA_FIELDS[[#This Row],[PCT_CALC_SHOW_STATUS_CODE]]=1,
DB_TBL_DATA_FIELDS[[#This Row],[FIELD_STATUS_CODE]],
IF(AND(DB_TBL_DATA_FIELDS[[#This Row],[PCT_CALC_SHOW_STATUS_CODE]]=2,DB_TBL_DATA_FIELDS[[#This Row],[FIELD_STATUS_CODE]]=0),
DB_TBL_DATA_FIELDS[[#This Row],[FIELD_STATUS_CODE]],
"")
)</f>
        <v>1</v>
      </c>
      <c r="Z336" s="7"/>
      <c r="AA336" s="10"/>
      <c r="AB336" s="10" t="s">
        <v>3829</v>
      </c>
      <c r="AC336" s="7" t="s">
        <v>3830</v>
      </c>
    </row>
  </sheetData>
  <sheetProtection algorithmName="SHA-512" hashValue="1z/wDS0lXUtOOltJ6ppeskTgIRhHWu6VCJeqLzObMtUaPqXc1dbj3iogSA7IC8lXFCxl8pzUxBWR7SniX7Xd/w==" saltValue="Tv+p4I0RzTJ8dpKnv2T4BQ==" spinCount="100000" sheet="1" objects="1" scenarios="1"/>
  <conditionalFormatting sqref="E1:E327 E330:E332 E334:E1048576">
    <cfRule type="cellIs" dxfId="213" priority="19" operator="equal">
      <formula>TRUE</formula>
    </cfRule>
  </conditionalFormatting>
  <conditionalFormatting sqref="F87:F88">
    <cfRule type="cellIs" dxfId="212" priority="4" operator="equal">
      <formula>TRUE</formula>
    </cfRule>
  </conditionalFormatting>
  <conditionalFormatting sqref="E243">
    <cfRule type="cellIs" dxfId="211" priority="3" operator="equal">
      <formula>TRUE</formula>
    </cfRule>
  </conditionalFormatting>
  <conditionalFormatting sqref="E328:E329">
    <cfRule type="cellIs" dxfId="210" priority="2" operator="equal">
      <formula>TRUE</formula>
    </cfRule>
  </conditionalFormatting>
  <conditionalFormatting sqref="E333">
    <cfRule type="cellIs" dxfId="209" priority="1" operator="equal">
      <formula>TRUE</formula>
    </cfRule>
  </conditionalFormatting>
  <pageMargins left="0.7" right="0.7" top="0.75" bottom="0.75" header="0.3" footer="0.3"/>
  <pageSetup orientation="portrait" r:id="rId1"/>
  <headerFooter>
    <oddFooter>&amp;L&amp;1#&amp;"Calibri"&amp;9&amp;K0000FFFHLBank San Francisco | Internal</oddFooter>
  </headerFooter>
  <ignoredErrors>
    <ignoredError sqref="U10:V10 Q3 U18 U11:U13 Q18 Q16 U16:V16 Q20 U14:V14 Q10:Q14" calculatedColumn="1"/>
  </ignoredErrors>
  <legacyDrawing r:id="rId2"/>
  <tableParts count="1">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I3225"/>
  <sheetViews>
    <sheetView workbookViewId="0">
      <selection activeCell="P7" sqref="P7:S7"/>
    </sheetView>
  </sheetViews>
  <sheetFormatPr defaultColWidth="9.140625" defaultRowHeight="12.75" x14ac:dyDescent="0.2"/>
  <cols>
    <col min="1" max="1" width="16" style="1" customWidth="1"/>
    <col min="2" max="2" width="20.42578125" style="1" bestFit="1" customWidth="1"/>
    <col min="3" max="3" width="9.140625" style="1"/>
    <col min="4" max="4" width="33.28515625" style="1" bestFit="1" customWidth="1"/>
    <col min="5" max="5" width="9.140625" style="1"/>
    <col min="6" max="6" width="14.85546875" style="1" customWidth="1"/>
    <col min="7" max="7" width="15.7109375" style="1" customWidth="1"/>
    <col min="8" max="8" width="8.140625" style="1" customWidth="1"/>
    <col min="9" max="9" width="17.28515625" style="1" customWidth="1"/>
    <col min="10" max="10" width="16.85546875" style="1" customWidth="1"/>
    <col min="11" max="11" width="9.140625" style="1"/>
    <col min="12" max="12" width="13.5703125" style="1" customWidth="1"/>
    <col min="13" max="13" width="32.28515625" style="1" bestFit="1" customWidth="1"/>
    <col min="14" max="14" width="9.140625" style="1"/>
    <col min="15" max="15" width="33.28515625" style="1" bestFit="1" customWidth="1"/>
    <col min="16" max="16" width="15.85546875" style="1" customWidth="1"/>
    <col min="17" max="17" width="9.140625" style="1"/>
    <col min="18" max="18" width="45" style="1" bestFit="1" customWidth="1"/>
    <col min="19" max="19" width="9.140625" style="1"/>
    <col min="20" max="20" width="33.85546875" style="1" bestFit="1" customWidth="1"/>
    <col min="21" max="21" width="18.85546875" style="1" customWidth="1"/>
    <col min="22" max="22" width="9.140625" style="1"/>
    <col min="23" max="23" width="24.28515625" style="1" customWidth="1"/>
    <col min="24" max="24" width="19.85546875" style="1" customWidth="1"/>
    <col min="25" max="25" width="9.140625" style="1"/>
    <col min="26" max="26" width="24.28515625" style="1" customWidth="1"/>
    <col min="27" max="27" width="19.85546875" style="1" customWidth="1"/>
    <col min="28" max="28" width="9.140625" style="1"/>
    <col min="29" max="29" width="24.28515625" style="1" customWidth="1"/>
    <col min="30" max="30" width="19.85546875" style="1" customWidth="1"/>
    <col min="31" max="31" width="9.140625" style="1"/>
    <col min="32" max="32" width="55.5703125" style="1" bestFit="1" customWidth="1"/>
    <col min="33" max="33" width="12.7109375" style="1" bestFit="1" customWidth="1"/>
    <col min="34" max="34" width="9.140625" style="1"/>
    <col min="35" max="35" width="45.42578125" style="1" bestFit="1" customWidth="1"/>
    <col min="36" max="36" width="12.7109375" style="1" bestFit="1" customWidth="1"/>
    <col min="37" max="37" width="9.140625" style="1"/>
    <col min="38" max="38" width="45.42578125" style="1" bestFit="1" customWidth="1"/>
    <col min="39" max="39" width="12.7109375" style="1" bestFit="1" customWidth="1"/>
    <col min="40" max="40" width="9.140625" style="1"/>
    <col min="41" max="41" width="24.28515625" style="1" customWidth="1"/>
    <col min="42" max="42" width="19.5703125" style="1" customWidth="1"/>
    <col min="43" max="43" width="9.140625" style="1"/>
    <col min="44" max="44" width="24.28515625" style="1" customWidth="1"/>
    <col min="45" max="45" width="19.5703125" style="1" customWidth="1"/>
    <col min="46" max="46" width="9.140625" style="1"/>
    <col min="47" max="47" width="24.28515625" style="1" customWidth="1"/>
    <col min="48" max="49" width="23" style="1" bestFit="1" customWidth="1"/>
    <col min="50" max="50" width="22.85546875" style="1" bestFit="1" customWidth="1"/>
    <col min="51" max="51" width="23" style="1" bestFit="1" customWidth="1"/>
    <col min="52" max="52" width="24.42578125" style="1" bestFit="1" customWidth="1"/>
    <col min="53" max="53" width="9.140625" style="1"/>
    <col min="54" max="54" width="45.42578125" style="1" bestFit="1" customWidth="1"/>
    <col min="55" max="55" width="12.7109375" style="1" bestFit="1" customWidth="1"/>
    <col min="56" max="56" width="9.140625" style="1"/>
    <col min="57" max="57" width="45.42578125" style="1" bestFit="1" customWidth="1"/>
    <col min="58" max="58" width="12.7109375" style="1" bestFit="1" customWidth="1"/>
    <col min="59" max="59" width="9.140625" style="1"/>
    <col min="60" max="60" width="53" style="1" bestFit="1" customWidth="1"/>
    <col min="61" max="61" width="12.7109375" style="1" bestFit="1" customWidth="1"/>
    <col min="62" max="16384" width="9.140625" style="1"/>
  </cols>
  <sheetData>
    <row r="1" spans="1:61" x14ac:dyDescent="0.2">
      <c r="A1" s="3" t="s">
        <v>143</v>
      </c>
      <c r="D1" s="3" t="s">
        <v>144</v>
      </c>
      <c r="F1" s="3" t="s">
        <v>286</v>
      </c>
      <c r="I1" s="3" t="s">
        <v>316</v>
      </c>
      <c r="L1" s="3" t="s">
        <v>327</v>
      </c>
      <c r="O1" s="3" t="s">
        <v>375</v>
      </c>
      <c r="P1" s="1" t="s">
        <v>2332</v>
      </c>
      <c r="R1" s="3" t="s">
        <v>2333</v>
      </c>
      <c r="T1" s="3" t="s">
        <v>2466</v>
      </c>
      <c r="W1" s="3" t="s">
        <v>2585</v>
      </c>
      <c r="Z1" s="3" t="s">
        <v>2648</v>
      </c>
      <c r="AC1" s="3" t="s">
        <v>2649</v>
      </c>
      <c r="AF1" s="3" t="s">
        <v>3020</v>
      </c>
      <c r="AI1" s="3" t="s">
        <v>3209</v>
      </c>
      <c r="AL1" s="3" t="s">
        <v>3212</v>
      </c>
      <c r="AO1" s="3" t="s">
        <v>3248</v>
      </c>
      <c r="AR1" s="3" t="s">
        <v>3257</v>
      </c>
      <c r="AU1" s="3" t="s">
        <v>3259</v>
      </c>
      <c r="BB1" s="3" t="s">
        <v>3397</v>
      </c>
      <c r="BE1" s="3" t="s">
        <v>3398</v>
      </c>
      <c r="BH1" s="3" t="s">
        <v>3558</v>
      </c>
    </row>
    <row r="2" spans="1:61" ht="13.5" thickBot="1" x14ac:dyDescent="0.25">
      <c r="A2" s="1" t="s">
        <v>42</v>
      </c>
      <c r="B2" s="1" t="s">
        <v>43</v>
      </c>
      <c r="D2" s="14" t="s">
        <v>142</v>
      </c>
      <c r="F2" s="36" t="s">
        <v>42</v>
      </c>
      <c r="G2" s="36" t="s">
        <v>43</v>
      </c>
      <c r="I2" s="36" t="s">
        <v>43</v>
      </c>
      <c r="J2" s="36" t="s">
        <v>42</v>
      </c>
      <c r="L2" s="36" t="s">
        <v>42</v>
      </c>
      <c r="M2" s="36" t="s">
        <v>43</v>
      </c>
      <c r="O2" s="36" t="s">
        <v>376</v>
      </c>
      <c r="P2" s="14" t="s">
        <v>142</v>
      </c>
      <c r="R2" s="14" t="s">
        <v>2334</v>
      </c>
      <c r="T2" s="36" t="s">
        <v>43</v>
      </c>
      <c r="U2" s="36" t="s">
        <v>42</v>
      </c>
      <c r="W2" s="36" t="s">
        <v>43</v>
      </c>
      <c r="X2" s="36" t="s">
        <v>42</v>
      </c>
      <c r="Z2" s="36" t="s">
        <v>43</v>
      </c>
      <c r="AA2" s="36" t="s">
        <v>42</v>
      </c>
      <c r="AC2" s="36" t="s">
        <v>43</v>
      </c>
      <c r="AD2" s="36" t="s">
        <v>42</v>
      </c>
      <c r="AF2" s="36" t="s">
        <v>43</v>
      </c>
      <c r="AG2" s="36" t="s">
        <v>42</v>
      </c>
      <c r="AI2" s="36" t="s">
        <v>43</v>
      </c>
      <c r="AJ2" s="36" t="s">
        <v>42</v>
      </c>
      <c r="AL2" s="36" t="s">
        <v>43</v>
      </c>
      <c r="AM2" s="36" t="s">
        <v>42</v>
      </c>
      <c r="AO2" s="36" t="s">
        <v>43</v>
      </c>
      <c r="AP2" s="36" t="s">
        <v>42</v>
      </c>
      <c r="AR2" s="36" t="s">
        <v>43</v>
      </c>
      <c r="AS2" s="36" t="s">
        <v>42</v>
      </c>
      <c r="AU2" s="36" t="s">
        <v>43</v>
      </c>
      <c r="AV2" s="36" t="s">
        <v>3268</v>
      </c>
      <c r="AW2" s="36" t="s">
        <v>3273</v>
      </c>
      <c r="AX2" s="115" t="s">
        <v>3281</v>
      </c>
      <c r="AY2" s="115" t="s">
        <v>3285</v>
      </c>
      <c r="AZ2" s="115" t="s">
        <v>3295</v>
      </c>
      <c r="BB2" s="36" t="s">
        <v>43</v>
      </c>
      <c r="BC2" s="36" t="s">
        <v>42</v>
      </c>
      <c r="BE2" s="36" t="s">
        <v>43</v>
      </c>
      <c r="BF2" s="36" t="s">
        <v>42</v>
      </c>
      <c r="BH2" s="36" t="s">
        <v>43</v>
      </c>
      <c r="BI2" s="36" t="s">
        <v>42</v>
      </c>
    </row>
    <row r="3" spans="1:61" ht="13.5" thickTop="1" x14ac:dyDescent="0.2">
      <c r="A3" s="1" t="s">
        <v>44</v>
      </c>
      <c r="B3" s="1" t="s">
        <v>45</v>
      </c>
      <c r="D3" s="59" t="s">
        <v>139</v>
      </c>
      <c r="F3" s="37">
        <v>1</v>
      </c>
      <c r="G3" s="37" t="s">
        <v>275</v>
      </c>
      <c r="I3" s="37" t="s">
        <v>275</v>
      </c>
      <c r="J3" s="37">
        <v>1</v>
      </c>
      <c r="L3" s="39">
        <v>0</v>
      </c>
      <c r="M3" s="37" t="s">
        <v>330</v>
      </c>
      <c r="O3" s="37" t="s">
        <v>377</v>
      </c>
      <c r="P3" s="46" t="s">
        <v>141</v>
      </c>
      <c r="R3" s="50" t="s">
        <v>2332</v>
      </c>
      <c r="T3" s="37" t="s">
        <v>2474</v>
      </c>
      <c r="U3" s="37"/>
      <c r="W3" s="37" t="s">
        <v>3409</v>
      </c>
      <c r="X3" s="39" t="s">
        <v>2587</v>
      </c>
      <c r="Z3" s="37" t="s">
        <v>2645</v>
      </c>
      <c r="AA3" s="39" t="s">
        <v>2647</v>
      </c>
      <c r="AC3" s="37" t="s">
        <v>2650</v>
      </c>
      <c r="AD3" s="39" t="s">
        <v>2647</v>
      </c>
      <c r="AF3" s="37" t="s">
        <v>3021</v>
      </c>
      <c r="AG3" s="39" t="s">
        <v>2647</v>
      </c>
      <c r="AI3" s="37" t="s">
        <v>3213</v>
      </c>
      <c r="AJ3" s="39" t="s">
        <v>2647</v>
      </c>
      <c r="AL3" s="37" t="s">
        <v>3214</v>
      </c>
      <c r="AM3" s="39" t="s">
        <v>2647</v>
      </c>
      <c r="AO3" s="37" t="s">
        <v>3249</v>
      </c>
      <c r="AP3" s="39" t="s">
        <v>2647</v>
      </c>
      <c r="AR3" s="37" t="s">
        <v>3258</v>
      </c>
      <c r="AS3" s="39" t="s">
        <v>2647</v>
      </c>
      <c r="AU3" s="113">
        <v>1</v>
      </c>
      <c r="AV3" s="39" t="s">
        <v>3260</v>
      </c>
      <c r="AW3" s="39" t="s">
        <v>3277</v>
      </c>
      <c r="AX3" s="39" t="s">
        <v>3282</v>
      </c>
      <c r="AY3" s="39" t="s">
        <v>3292</v>
      </c>
      <c r="AZ3" s="39" t="s">
        <v>3299</v>
      </c>
      <c r="BB3" s="37" t="s">
        <v>3213</v>
      </c>
      <c r="BC3" s="39" t="s">
        <v>2647</v>
      </c>
      <c r="BE3" s="37" t="s">
        <v>3214</v>
      </c>
      <c r="BF3" s="39" t="s">
        <v>2647</v>
      </c>
      <c r="BH3" s="37" t="s">
        <v>3559</v>
      </c>
      <c r="BI3" s="39" t="s">
        <v>2647</v>
      </c>
    </row>
    <row r="4" spans="1:61" x14ac:dyDescent="0.2">
      <c r="A4" s="1" t="s">
        <v>46</v>
      </c>
      <c r="B4" s="1" t="s">
        <v>47</v>
      </c>
      <c r="D4" s="48" t="s">
        <v>137</v>
      </c>
      <c r="F4" s="38">
        <v>0</v>
      </c>
      <c r="G4" s="38" t="s">
        <v>285</v>
      </c>
      <c r="I4" s="38" t="s">
        <v>285</v>
      </c>
      <c r="J4" s="38">
        <v>0</v>
      </c>
      <c r="L4" s="40">
        <v>1</v>
      </c>
      <c r="M4" s="38" t="s">
        <v>331</v>
      </c>
      <c r="O4" s="38" t="s">
        <v>378</v>
      </c>
      <c r="P4" s="47" t="s">
        <v>141</v>
      </c>
      <c r="T4" s="38" t="s">
        <v>2469</v>
      </c>
      <c r="U4" s="38" t="str">
        <f>"FHLB_"&amp;UPPER(T4)</f>
        <v>FHLB_ATLANTA</v>
      </c>
      <c r="W4" s="38" t="s">
        <v>2586</v>
      </c>
      <c r="X4" s="40" t="s">
        <v>2588</v>
      </c>
      <c r="Z4" s="38" t="s">
        <v>2646</v>
      </c>
      <c r="AA4" s="40" t="s">
        <v>2647</v>
      </c>
      <c r="AC4" s="38" t="s">
        <v>2651</v>
      </c>
      <c r="AD4" s="40" t="s">
        <v>2647</v>
      </c>
      <c r="AF4" s="38" t="s">
        <v>3022</v>
      </c>
      <c r="AG4" s="40" t="s">
        <v>2647</v>
      </c>
      <c r="AI4" s="38" t="s">
        <v>3210</v>
      </c>
      <c r="AJ4" s="40" t="s">
        <v>2647</v>
      </c>
      <c r="AL4" s="38" t="s">
        <v>3215</v>
      </c>
      <c r="AM4" s="40" t="s">
        <v>2647</v>
      </c>
      <c r="AO4" s="38" t="s">
        <v>3680</v>
      </c>
      <c r="AP4" s="40" t="s">
        <v>2647</v>
      </c>
      <c r="AR4" s="38" t="s">
        <v>3255</v>
      </c>
      <c r="AS4" s="40" t="s">
        <v>2647</v>
      </c>
      <c r="AU4" s="114">
        <v>2</v>
      </c>
      <c r="AV4" s="40" t="s">
        <v>3261</v>
      </c>
      <c r="AW4" s="40" t="s">
        <v>3278</v>
      </c>
      <c r="AX4" s="40" t="s">
        <v>3586</v>
      </c>
      <c r="AY4" s="40" t="s">
        <v>3291</v>
      </c>
      <c r="AZ4" s="40" t="s">
        <v>3300</v>
      </c>
      <c r="BB4" s="38" t="s">
        <v>3210</v>
      </c>
      <c r="BC4" s="40" t="s">
        <v>2647</v>
      </c>
      <c r="BE4" s="38" t="s">
        <v>3215</v>
      </c>
      <c r="BF4" s="40" t="s">
        <v>2647</v>
      </c>
      <c r="BH4" s="38" t="s">
        <v>3560</v>
      </c>
      <c r="BI4" s="40" t="s">
        <v>2647</v>
      </c>
    </row>
    <row r="5" spans="1:61" x14ac:dyDescent="0.2">
      <c r="D5" s="59" t="s">
        <v>115</v>
      </c>
      <c r="I5" s="37" t="s">
        <v>216</v>
      </c>
      <c r="J5" s="37">
        <v>2</v>
      </c>
      <c r="L5" s="39">
        <v>2</v>
      </c>
      <c r="M5" s="37" t="s">
        <v>2959</v>
      </c>
      <c r="O5" s="37" t="s">
        <v>379</v>
      </c>
      <c r="P5" s="46" t="s">
        <v>141</v>
      </c>
      <c r="T5" s="37" t="s">
        <v>2467</v>
      </c>
      <c r="U5" s="37" t="str">
        <f t="shared" ref="U5:U13" si="0">"FHLB_"&amp;UPPER(T5)</f>
        <v>FHLB_BOSTON</v>
      </c>
      <c r="AC5" s="37" t="s">
        <v>2652</v>
      </c>
      <c r="AD5" s="39" t="s">
        <v>2647</v>
      </c>
      <c r="AF5" s="37" t="s">
        <v>3023</v>
      </c>
      <c r="AG5" s="39" t="s">
        <v>2647</v>
      </c>
      <c r="AI5" s="37" t="s">
        <v>3211</v>
      </c>
      <c r="AJ5" s="39" t="s">
        <v>2647</v>
      </c>
      <c r="AL5" s="37" t="s">
        <v>3216</v>
      </c>
      <c r="AM5" s="39" t="s">
        <v>2647</v>
      </c>
      <c r="AO5" s="37" t="s">
        <v>3250</v>
      </c>
      <c r="AP5" s="39" t="s">
        <v>2647</v>
      </c>
      <c r="AU5" s="113">
        <v>3</v>
      </c>
      <c r="AV5" s="39" t="s">
        <v>3262</v>
      </c>
      <c r="AW5" s="39" t="s">
        <v>3279</v>
      </c>
      <c r="AX5" s="39" t="s">
        <v>3587</v>
      </c>
      <c r="AY5" s="39" t="s">
        <v>3293</v>
      </c>
      <c r="AZ5" s="39" t="s">
        <v>3301</v>
      </c>
      <c r="BB5" s="37" t="s">
        <v>3211</v>
      </c>
      <c r="BC5" s="39" t="s">
        <v>2647</v>
      </c>
      <c r="BE5" s="37" t="s">
        <v>3216</v>
      </c>
      <c r="BF5" s="39" t="s">
        <v>2647</v>
      </c>
    </row>
    <row r="6" spans="1:61" x14ac:dyDescent="0.2">
      <c r="D6" s="48" t="s">
        <v>140</v>
      </c>
      <c r="L6" s="40">
        <v>3</v>
      </c>
      <c r="M6" s="38" t="s">
        <v>2960</v>
      </c>
      <c r="O6" s="38" t="s">
        <v>380</v>
      </c>
      <c r="P6" s="47" t="s">
        <v>141</v>
      </c>
      <c r="T6" s="38" t="s">
        <v>2472</v>
      </c>
      <c r="U6" s="38" t="str">
        <f t="shared" si="0"/>
        <v>FHLB_CHICAGO</v>
      </c>
      <c r="AI6" s="38" t="s">
        <v>3610</v>
      </c>
      <c r="AJ6" s="40" t="s">
        <v>2647</v>
      </c>
      <c r="AL6" s="38" t="s">
        <v>3217</v>
      </c>
      <c r="AM6" s="40" t="s">
        <v>2647</v>
      </c>
      <c r="AU6" s="114">
        <v>4</v>
      </c>
      <c r="AV6" s="40" t="s">
        <v>3279</v>
      </c>
      <c r="AW6" s="40" t="s">
        <v>216</v>
      </c>
      <c r="AX6" s="40" t="s">
        <v>216</v>
      </c>
      <c r="AY6" s="40" t="s">
        <v>3714</v>
      </c>
      <c r="AZ6" s="40" t="s">
        <v>3263</v>
      </c>
      <c r="BB6" s="38" t="s">
        <v>3610</v>
      </c>
      <c r="BC6" s="40" t="s">
        <v>2647</v>
      </c>
      <c r="BE6" s="38" t="s">
        <v>3399</v>
      </c>
      <c r="BF6" s="40" t="s">
        <v>2647</v>
      </c>
    </row>
    <row r="7" spans="1:61" x14ac:dyDescent="0.2">
      <c r="D7" s="59" t="s">
        <v>141</v>
      </c>
      <c r="L7" s="39">
        <v>4</v>
      </c>
      <c r="M7" s="37" t="s">
        <v>329</v>
      </c>
      <c r="O7" s="37" t="s">
        <v>381</v>
      </c>
      <c r="P7" s="46" t="s">
        <v>141</v>
      </c>
      <c r="T7" s="37" t="s">
        <v>2470</v>
      </c>
      <c r="U7" s="37" t="str">
        <f t="shared" si="0"/>
        <v>FHLB_CINCINNATI</v>
      </c>
      <c r="AL7" s="37" t="s">
        <v>3218</v>
      </c>
      <c r="AM7" s="39" t="s">
        <v>2647</v>
      </c>
      <c r="AU7" s="113">
        <v>5</v>
      </c>
      <c r="AV7" s="39" t="s">
        <v>216</v>
      </c>
      <c r="AW7" s="39" t="s">
        <v>3263</v>
      </c>
      <c r="AX7" s="39" t="s">
        <v>3263</v>
      </c>
      <c r="AY7" s="39" t="s">
        <v>216</v>
      </c>
      <c r="AZ7" s="39" t="s">
        <v>3263</v>
      </c>
      <c r="BE7" s="37" t="s">
        <v>3218</v>
      </c>
      <c r="BF7" s="39" t="s">
        <v>2647</v>
      </c>
    </row>
    <row r="8" spans="1:61" x14ac:dyDescent="0.2">
      <c r="D8" s="48" t="s">
        <v>138</v>
      </c>
      <c r="L8" s="40">
        <v>5</v>
      </c>
      <c r="M8" s="38" t="s">
        <v>328</v>
      </c>
      <c r="O8" s="38" t="s">
        <v>382</v>
      </c>
      <c r="P8" s="47" t="s">
        <v>141</v>
      </c>
      <c r="T8" s="38" t="s">
        <v>400</v>
      </c>
      <c r="U8" s="38" t="str">
        <f t="shared" si="0"/>
        <v>FHLB_DALLAS</v>
      </c>
    </row>
    <row r="9" spans="1:61" x14ac:dyDescent="0.2">
      <c r="D9" s="59" t="s">
        <v>136</v>
      </c>
      <c r="L9" s="39">
        <v>6</v>
      </c>
      <c r="M9" s="37" t="s">
        <v>3683</v>
      </c>
      <c r="O9" s="37" t="s">
        <v>383</v>
      </c>
      <c r="P9" s="46" t="s">
        <v>141</v>
      </c>
      <c r="T9" s="37" t="s">
        <v>966</v>
      </c>
      <c r="U9" s="37" t="str">
        <f t="shared" si="0"/>
        <v>FHLB_DES MOINES</v>
      </c>
    </row>
    <row r="10" spans="1:61" x14ac:dyDescent="0.2">
      <c r="D10" s="48" t="s">
        <v>93</v>
      </c>
      <c r="L10" s="40">
        <v>7</v>
      </c>
      <c r="M10" s="38" t="s">
        <v>3684</v>
      </c>
      <c r="O10" s="38" t="s">
        <v>384</v>
      </c>
      <c r="P10" s="47" t="s">
        <v>141</v>
      </c>
      <c r="T10" s="38" t="s">
        <v>2471</v>
      </c>
      <c r="U10" s="38" t="str">
        <f t="shared" si="0"/>
        <v>FHLB_INDIANAPOLIS</v>
      </c>
    </row>
    <row r="11" spans="1:61" x14ac:dyDescent="0.2">
      <c r="D11" s="59" t="s">
        <v>663</v>
      </c>
      <c r="L11" s="39">
        <v>8</v>
      </c>
      <c r="M11" s="37" t="s">
        <v>2961</v>
      </c>
      <c r="O11" s="37" t="s">
        <v>385</v>
      </c>
      <c r="P11" s="46" t="s">
        <v>141</v>
      </c>
      <c r="T11" s="37" t="s">
        <v>1564</v>
      </c>
      <c r="U11" s="37" t="str">
        <f t="shared" si="0"/>
        <v>FHLB_NEW YORK</v>
      </c>
    </row>
    <row r="12" spans="1:61" x14ac:dyDescent="0.2">
      <c r="D12" s="48" t="s">
        <v>135</v>
      </c>
      <c r="O12" s="38" t="s">
        <v>386</v>
      </c>
      <c r="P12" s="47" t="s">
        <v>141</v>
      </c>
      <c r="T12" s="38" t="s">
        <v>2468</v>
      </c>
      <c r="U12" s="38" t="str">
        <f t="shared" si="0"/>
        <v>FHLB_PITTSBURGH</v>
      </c>
    </row>
    <row r="13" spans="1:61" x14ac:dyDescent="0.2">
      <c r="D13" s="59" t="s">
        <v>134</v>
      </c>
      <c r="O13" s="37" t="s">
        <v>387</v>
      </c>
      <c r="P13" s="46" t="s">
        <v>141</v>
      </c>
      <c r="T13" s="37" t="s">
        <v>2473</v>
      </c>
      <c r="U13" s="37" t="str">
        <f t="shared" si="0"/>
        <v>FHLB_TOPEKA</v>
      </c>
    </row>
    <row r="14" spans="1:61" x14ac:dyDescent="0.2">
      <c r="D14" s="48" t="s">
        <v>133</v>
      </c>
      <c r="O14" s="38" t="s">
        <v>388</v>
      </c>
      <c r="P14" s="47" t="s">
        <v>141</v>
      </c>
    </row>
    <row r="15" spans="1:61" x14ac:dyDescent="0.2">
      <c r="D15" s="59" t="s">
        <v>2865</v>
      </c>
      <c r="O15" s="37" t="s">
        <v>389</v>
      </c>
      <c r="P15" s="46" t="s">
        <v>141</v>
      </c>
      <c r="AX15" s="63"/>
      <c r="AY15" s="63"/>
    </row>
    <row r="16" spans="1:61" x14ac:dyDescent="0.2">
      <c r="D16" s="48" t="s">
        <v>132</v>
      </c>
      <c r="O16" s="38" t="s">
        <v>390</v>
      </c>
      <c r="P16" s="47" t="s">
        <v>141</v>
      </c>
      <c r="AX16" s="63"/>
      <c r="AY16" s="63"/>
    </row>
    <row r="17" spans="4:51" x14ac:dyDescent="0.2">
      <c r="D17" s="59" t="s">
        <v>128</v>
      </c>
      <c r="O17" s="37" t="s">
        <v>391</v>
      </c>
      <c r="P17" s="46" t="s">
        <v>141</v>
      </c>
      <c r="AX17" s="63"/>
      <c r="AY17" s="63"/>
    </row>
    <row r="18" spans="4:51" x14ac:dyDescent="0.2">
      <c r="D18" s="48" t="s">
        <v>131</v>
      </c>
      <c r="O18" s="38" t="s">
        <v>392</v>
      </c>
      <c r="P18" s="47" t="s">
        <v>141</v>
      </c>
    </row>
    <row r="19" spans="4:51" x14ac:dyDescent="0.2">
      <c r="D19" s="59" t="s">
        <v>130</v>
      </c>
      <c r="O19" s="37" t="s">
        <v>393</v>
      </c>
      <c r="P19" s="46" t="s">
        <v>141</v>
      </c>
    </row>
    <row r="20" spans="4:51" x14ac:dyDescent="0.2">
      <c r="D20" s="48" t="s">
        <v>129</v>
      </c>
      <c r="O20" s="38" t="s">
        <v>394</v>
      </c>
      <c r="P20" s="47" t="s">
        <v>141</v>
      </c>
    </row>
    <row r="21" spans="4:51" x14ac:dyDescent="0.2">
      <c r="D21" s="59" t="s">
        <v>127</v>
      </c>
      <c r="O21" s="37" t="s">
        <v>395</v>
      </c>
      <c r="P21" s="46" t="s">
        <v>141</v>
      </c>
    </row>
    <row r="22" spans="4:51" x14ac:dyDescent="0.2">
      <c r="D22" s="48" t="s">
        <v>126</v>
      </c>
      <c r="O22" s="38" t="s">
        <v>396</v>
      </c>
      <c r="P22" s="47" t="s">
        <v>141</v>
      </c>
    </row>
    <row r="23" spans="4:51" x14ac:dyDescent="0.2">
      <c r="D23" s="59" t="s">
        <v>125</v>
      </c>
      <c r="O23" s="37" t="s">
        <v>397</v>
      </c>
      <c r="P23" s="46" t="s">
        <v>141</v>
      </c>
    </row>
    <row r="24" spans="4:51" x14ac:dyDescent="0.2">
      <c r="D24" s="48" t="s">
        <v>122</v>
      </c>
      <c r="O24" s="38" t="s">
        <v>398</v>
      </c>
      <c r="P24" s="47" t="s">
        <v>141</v>
      </c>
    </row>
    <row r="25" spans="4:51" x14ac:dyDescent="0.2">
      <c r="D25" s="59" t="s">
        <v>123</v>
      </c>
      <c r="O25" s="37" t="s">
        <v>399</v>
      </c>
      <c r="P25" s="46" t="s">
        <v>141</v>
      </c>
    </row>
    <row r="26" spans="4:51" x14ac:dyDescent="0.2">
      <c r="D26" s="48" t="s">
        <v>124</v>
      </c>
      <c r="O26" s="38" t="s">
        <v>400</v>
      </c>
      <c r="P26" s="47" t="s">
        <v>141</v>
      </c>
    </row>
    <row r="27" spans="4:51" x14ac:dyDescent="0.2">
      <c r="D27" s="59" t="s">
        <v>121</v>
      </c>
      <c r="O27" s="37" t="s">
        <v>401</v>
      </c>
      <c r="P27" s="46" t="s">
        <v>141</v>
      </c>
    </row>
    <row r="28" spans="4:51" x14ac:dyDescent="0.2">
      <c r="D28" s="48" t="s">
        <v>120</v>
      </c>
      <c r="O28" s="38" t="s">
        <v>402</v>
      </c>
      <c r="P28" s="47" t="s">
        <v>141</v>
      </c>
    </row>
    <row r="29" spans="4:51" x14ac:dyDescent="0.2">
      <c r="D29" s="59" t="s">
        <v>118</v>
      </c>
      <c r="O29" s="37" t="s">
        <v>403</v>
      </c>
      <c r="P29" s="46" t="s">
        <v>141</v>
      </c>
    </row>
    <row r="30" spans="4:51" x14ac:dyDescent="0.2">
      <c r="D30" s="48" t="s">
        <v>119</v>
      </c>
      <c r="O30" s="38" t="s">
        <v>404</v>
      </c>
      <c r="P30" s="47" t="s">
        <v>141</v>
      </c>
    </row>
    <row r="31" spans="4:51" x14ac:dyDescent="0.2">
      <c r="D31" s="59" t="s">
        <v>117</v>
      </c>
      <c r="O31" s="37" t="s">
        <v>405</v>
      </c>
      <c r="P31" s="46" t="s">
        <v>141</v>
      </c>
    </row>
    <row r="32" spans="4:51" x14ac:dyDescent="0.2">
      <c r="D32" s="48" t="s">
        <v>111</v>
      </c>
      <c r="O32" s="38" t="s">
        <v>406</v>
      </c>
      <c r="P32" s="47" t="s">
        <v>141</v>
      </c>
    </row>
    <row r="33" spans="4:16" x14ac:dyDescent="0.2">
      <c r="D33" s="59" t="s">
        <v>110</v>
      </c>
      <c r="O33" s="37" t="s">
        <v>407</v>
      </c>
      <c r="P33" s="46" t="s">
        <v>141</v>
      </c>
    </row>
    <row r="34" spans="4:16" x14ac:dyDescent="0.2">
      <c r="D34" s="48" t="s">
        <v>116</v>
      </c>
      <c r="O34" s="38" t="s">
        <v>408</v>
      </c>
      <c r="P34" s="47" t="s">
        <v>141</v>
      </c>
    </row>
    <row r="35" spans="4:16" x14ac:dyDescent="0.2">
      <c r="D35" s="59" t="s">
        <v>114</v>
      </c>
      <c r="O35" s="37" t="s">
        <v>409</v>
      </c>
      <c r="P35" s="46" t="s">
        <v>141</v>
      </c>
    </row>
    <row r="36" spans="4:16" x14ac:dyDescent="0.2">
      <c r="D36" s="48" t="s">
        <v>113</v>
      </c>
      <c r="O36" s="38" t="s">
        <v>410</v>
      </c>
      <c r="P36" s="47" t="s">
        <v>141</v>
      </c>
    </row>
    <row r="37" spans="4:16" x14ac:dyDescent="0.2">
      <c r="D37" s="59" t="s">
        <v>112</v>
      </c>
      <c r="O37" s="37" t="s">
        <v>411</v>
      </c>
      <c r="P37" s="46" t="s">
        <v>141</v>
      </c>
    </row>
    <row r="38" spans="4:16" x14ac:dyDescent="0.2">
      <c r="D38" s="48" t="s">
        <v>92</v>
      </c>
      <c r="O38" s="38" t="s">
        <v>412</v>
      </c>
      <c r="P38" s="47" t="s">
        <v>141</v>
      </c>
    </row>
    <row r="39" spans="4:16" x14ac:dyDescent="0.2">
      <c r="D39" s="59" t="s">
        <v>109</v>
      </c>
      <c r="O39" s="37" t="s">
        <v>413</v>
      </c>
      <c r="P39" s="46" t="s">
        <v>141</v>
      </c>
    </row>
    <row r="40" spans="4:16" x14ac:dyDescent="0.2">
      <c r="D40" s="48" t="s">
        <v>30</v>
      </c>
      <c r="O40" s="38" t="s">
        <v>414</v>
      </c>
      <c r="P40" s="47" t="s">
        <v>141</v>
      </c>
    </row>
    <row r="41" spans="4:16" x14ac:dyDescent="0.2">
      <c r="D41" s="59" t="s">
        <v>108</v>
      </c>
      <c r="O41" s="37" t="s">
        <v>415</v>
      </c>
      <c r="P41" s="46" t="s">
        <v>141</v>
      </c>
    </row>
    <row r="42" spans="4:16" x14ac:dyDescent="0.2">
      <c r="D42" s="48" t="s">
        <v>107</v>
      </c>
      <c r="O42" s="38" t="s">
        <v>416</v>
      </c>
      <c r="P42" s="47" t="s">
        <v>141</v>
      </c>
    </row>
    <row r="43" spans="4:16" x14ac:dyDescent="0.2">
      <c r="D43" s="59" t="s">
        <v>106</v>
      </c>
      <c r="O43" s="37" t="s">
        <v>417</v>
      </c>
      <c r="P43" s="46" t="s">
        <v>141</v>
      </c>
    </row>
    <row r="44" spans="4:16" x14ac:dyDescent="0.2">
      <c r="D44" s="48" t="s">
        <v>105</v>
      </c>
      <c r="O44" s="38" t="s">
        <v>418</v>
      </c>
      <c r="P44" s="47" t="s">
        <v>141</v>
      </c>
    </row>
    <row r="45" spans="4:16" x14ac:dyDescent="0.2">
      <c r="D45" s="59" t="s">
        <v>104</v>
      </c>
      <c r="O45" s="37" t="s">
        <v>419</v>
      </c>
      <c r="P45" s="46" t="s">
        <v>141</v>
      </c>
    </row>
    <row r="46" spans="4:16" x14ac:dyDescent="0.2">
      <c r="D46" s="48" t="s">
        <v>103</v>
      </c>
      <c r="O46" s="38" t="s">
        <v>420</v>
      </c>
      <c r="P46" s="47" t="s">
        <v>141</v>
      </c>
    </row>
    <row r="47" spans="4:16" x14ac:dyDescent="0.2">
      <c r="D47" s="59" t="s">
        <v>102</v>
      </c>
      <c r="O47" s="37" t="s">
        <v>421</v>
      </c>
      <c r="P47" s="46" t="s">
        <v>141</v>
      </c>
    </row>
    <row r="48" spans="4:16" x14ac:dyDescent="0.2">
      <c r="D48" s="48" t="s">
        <v>101</v>
      </c>
      <c r="O48" s="38" t="s">
        <v>422</v>
      </c>
      <c r="P48" s="47" t="s">
        <v>141</v>
      </c>
    </row>
    <row r="49" spans="4:16" x14ac:dyDescent="0.2">
      <c r="D49" s="59" t="s">
        <v>100</v>
      </c>
      <c r="O49" s="37" t="s">
        <v>423</v>
      </c>
      <c r="P49" s="46" t="s">
        <v>141</v>
      </c>
    </row>
    <row r="50" spans="4:16" x14ac:dyDescent="0.2">
      <c r="D50" s="48" t="s">
        <v>98</v>
      </c>
      <c r="O50" s="38" t="s">
        <v>424</v>
      </c>
      <c r="P50" s="47" t="s">
        <v>141</v>
      </c>
    </row>
    <row r="51" spans="4:16" x14ac:dyDescent="0.2">
      <c r="D51" s="59" t="s">
        <v>218</v>
      </c>
      <c r="O51" s="37" t="s">
        <v>425</v>
      </c>
      <c r="P51" s="46" t="s">
        <v>141</v>
      </c>
    </row>
    <row r="52" spans="4:16" x14ac:dyDescent="0.2">
      <c r="D52" s="48" t="s">
        <v>99</v>
      </c>
      <c r="O52" s="38" t="s">
        <v>426</v>
      </c>
      <c r="P52" s="47" t="s">
        <v>141</v>
      </c>
    </row>
    <row r="53" spans="4:16" x14ac:dyDescent="0.2">
      <c r="D53" s="59" t="s">
        <v>97</v>
      </c>
      <c r="O53" s="37" t="s">
        <v>427</v>
      </c>
      <c r="P53" s="46" t="s">
        <v>141</v>
      </c>
    </row>
    <row r="54" spans="4:16" x14ac:dyDescent="0.2">
      <c r="D54" s="48" t="s">
        <v>95</v>
      </c>
      <c r="O54" s="38" t="s">
        <v>428</v>
      </c>
      <c r="P54" s="47" t="s">
        <v>141</v>
      </c>
    </row>
    <row r="55" spans="4:16" x14ac:dyDescent="0.2">
      <c r="D55" s="59" t="s">
        <v>96</v>
      </c>
      <c r="O55" s="37" t="s">
        <v>429</v>
      </c>
      <c r="P55" s="46" t="s">
        <v>141</v>
      </c>
    </row>
    <row r="56" spans="4:16" x14ac:dyDescent="0.2">
      <c r="D56" s="48" t="s">
        <v>94</v>
      </c>
      <c r="O56" s="38" t="s">
        <v>430</v>
      </c>
      <c r="P56" s="47" t="s">
        <v>141</v>
      </c>
    </row>
    <row r="57" spans="4:16" x14ac:dyDescent="0.2">
      <c r="O57" s="37" t="s">
        <v>431</v>
      </c>
      <c r="P57" s="46" t="s">
        <v>141</v>
      </c>
    </row>
    <row r="58" spans="4:16" x14ac:dyDescent="0.2">
      <c r="D58" s="1" t="s">
        <v>3410</v>
      </c>
      <c r="O58" s="38" t="s">
        <v>432</v>
      </c>
      <c r="P58" s="47" t="s">
        <v>141</v>
      </c>
    </row>
    <row r="59" spans="4:16" x14ac:dyDescent="0.2">
      <c r="O59" s="37" t="s">
        <v>433</v>
      </c>
      <c r="P59" s="46" t="s">
        <v>141</v>
      </c>
    </row>
    <row r="60" spans="4:16" x14ac:dyDescent="0.2">
      <c r="O60" s="38" t="s">
        <v>434</v>
      </c>
      <c r="P60" s="47" t="s">
        <v>141</v>
      </c>
    </row>
    <row r="61" spans="4:16" x14ac:dyDescent="0.2">
      <c r="O61" s="37" t="s">
        <v>435</v>
      </c>
      <c r="P61" s="46" t="s">
        <v>141</v>
      </c>
    </row>
    <row r="62" spans="4:16" x14ac:dyDescent="0.2">
      <c r="O62" s="38" t="s">
        <v>436</v>
      </c>
      <c r="P62" s="47" t="s">
        <v>141</v>
      </c>
    </row>
    <row r="63" spans="4:16" x14ac:dyDescent="0.2">
      <c r="O63" s="37" t="s">
        <v>437</v>
      </c>
      <c r="P63" s="46" t="s">
        <v>141</v>
      </c>
    </row>
    <row r="64" spans="4:16" x14ac:dyDescent="0.2">
      <c r="O64" s="38" t="s">
        <v>438</v>
      </c>
      <c r="P64" s="47" t="s">
        <v>141</v>
      </c>
    </row>
    <row r="65" spans="15:16" x14ac:dyDescent="0.2">
      <c r="O65" s="37" t="s">
        <v>439</v>
      </c>
      <c r="P65" s="46" t="s">
        <v>141</v>
      </c>
    </row>
    <row r="66" spans="15:16" x14ac:dyDescent="0.2">
      <c r="O66" s="38" t="s">
        <v>440</v>
      </c>
      <c r="P66" s="47" t="s">
        <v>141</v>
      </c>
    </row>
    <row r="67" spans="15:16" x14ac:dyDescent="0.2">
      <c r="O67" s="37" t="s">
        <v>441</v>
      </c>
      <c r="P67" s="46" t="s">
        <v>141</v>
      </c>
    </row>
    <row r="68" spans="15:16" x14ac:dyDescent="0.2">
      <c r="O68" s="38" t="s">
        <v>442</v>
      </c>
      <c r="P68" s="47" t="s">
        <v>141</v>
      </c>
    </row>
    <row r="69" spans="15:16" x14ac:dyDescent="0.2">
      <c r="O69" s="37" t="s">
        <v>443</v>
      </c>
      <c r="P69" s="46" t="s">
        <v>141</v>
      </c>
    </row>
    <row r="70" spans="15:16" x14ac:dyDescent="0.2">
      <c r="O70" s="38" t="s">
        <v>444</v>
      </c>
      <c r="P70" s="47" t="s">
        <v>140</v>
      </c>
    </row>
    <row r="71" spans="15:16" x14ac:dyDescent="0.2">
      <c r="O71" s="37" t="s">
        <v>445</v>
      </c>
      <c r="P71" s="46" t="s">
        <v>140</v>
      </c>
    </row>
    <row r="72" spans="15:16" x14ac:dyDescent="0.2">
      <c r="O72" s="38" t="s">
        <v>446</v>
      </c>
      <c r="P72" s="47" t="s">
        <v>140</v>
      </c>
    </row>
    <row r="73" spans="15:16" x14ac:dyDescent="0.2">
      <c r="O73" s="37" t="s">
        <v>447</v>
      </c>
      <c r="P73" s="46" t="s">
        <v>140</v>
      </c>
    </row>
    <row r="74" spans="15:16" x14ac:dyDescent="0.2">
      <c r="O74" s="38" t="s">
        <v>448</v>
      </c>
      <c r="P74" s="47" t="s">
        <v>140</v>
      </c>
    </row>
    <row r="75" spans="15:16" x14ac:dyDescent="0.2">
      <c r="O75" s="37" t="s">
        <v>449</v>
      </c>
      <c r="P75" s="46" t="s">
        <v>140</v>
      </c>
    </row>
    <row r="76" spans="15:16" x14ac:dyDescent="0.2">
      <c r="O76" s="38" t="s">
        <v>450</v>
      </c>
      <c r="P76" s="47" t="s">
        <v>140</v>
      </c>
    </row>
    <row r="77" spans="15:16" x14ac:dyDescent="0.2">
      <c r="O77" s="37" t="s">
        <v>451</v>
      </c>
      <c r="P77" s="46" t="s">
        <v>140</v>
      </c>
    </row>
    <row r="78" spans="15:16" x14ac:dyDescent="0.2">
      <c r="O78" s="38" t="s">
        <v>452</v>
      </c>
      <c r="P78" s="47" t="s">
        <v>140</v>
      </c>
    </row>
    <row r="79" spans="15:16" x14ac:dyDescent="0.2">
      <c r="O79" s="37" t="s">
        <v>453</v>
      </c>
      <c r="P79" s="46" t="s">
        <v>140</v>
      </c>
    </row>
    <row r="80" spans="15:16" x14ac:dyDescent="0.2">
      <c r="O80" s="38" t="s">
        <v>454</v>
      </c>
      <c r="P80" s="47" t="s">
        <v>140</v>
      </c>
    </row>
    <row r="81" spans="15:16" x14ac:dyDescent="0.2">
      <c r="O81" s="37" t="s">
        <v>455</v>
      </c>
      <c r="P81" s="46" t="s">
        <v>140</v>
      </c>
    </row>
    <row r="82" spans="15:16" x14ac:dyDescent="0.2">
      <c r="O82" s="38" t="s">
        <v>456</v>
      </c>
      <c r="P82" s="47" t="s">
        <v>140</v>
      </c>
    </row>
    <row r="83" spans="15:16" x14ac:dyDescent="0.2">
      <c r="O83" s="37" t="s">
        <v>457</v>
      </c>
      <c r="P83" s="46" t="s">
        <v>140</v>
      </c>
    </row>
    <row r="84" spans="15:16" x14ac:dyDescent="0.2">
      <c r="O84" s="38" t="s">
        <v>458</v>
      </c>
      <c r="P84" s="47" t="s">
        <v>140</v>
      </c>
    </row>
    <row r="85" spans="15:16" x14ac:dyDescent="0.2">
      <c r="O85" s="37" t="s">
        <v>459</v>
      </c>
      <c r="P85" s="46" t="s">
        <v>140</v>
      </c>
    </row>
    <row r="86" spans="15:16" x14ac:dyDescent="0.2">
      <c r="O86" s="38" t="s">
        <v>460</v>
      </c>
      <c r="P86" s="47" t="s">
        <v>140</v>
      </c>
    </row>
    <row r="87" spans="15:16" x14ac:dyDescent="0.2">
      <c r="O87" s="37" t="s">
        <v>461</v>
      </c>
      <c r="P87" s="46" t="s">
        <v>140</v>
      </c>
    </row>
    <row r="88" spans="15:16" x14ac:dyDescent="0.2">
      <c r="O88" s="38" t="s">
        <v>462</v>
      </c>
      <c r="P88" s="47" t="s">
        <v>140</v>
      </c>
    </row>
    <row r="89" spans="15:16" x14ac:dyDescent="0.2">
      <c r="O89" s="37" t="s">
        <v>463</v>
      </c>
      <c r="P89" s="46" t="s">
        <v>140</v>
      </c>
    </row>
    <row r="90" spans="15:16" x14ac:dyDescent="0.2">
      <c r="O90" s="38" t="s">
        <v>464</v>
      </c>
      <c r="P90" s="47" t="s">
        <v>140</v>
      </c>
    </row>
    <row r="91" spans="15:16" x14ac:dyDescent="0.2">
      <c r="O91" s="37" t="s">
        <v>465</v>
      </c>
      <c r="P91" s="46" t="s">
        <v>140</v>
      </c>
    </row>
    <row r="92" spans="15:16" x14ac:dyDescent="0.2">
      <c r="O92" s="38" t="s">
        <v>466</v>
      </c>
      <c r="P92" s="47" t="s">
        <v>140</v>
      </c>
    </row>
    <row r="93" spans="15:16" x14ac:dyDescent="0.2">
      <c r="O93" s="37" t="s">
        <v>467</v>
      </c>
      <c r="P93" s="46" t="s">
        <v>140</v>
      </c>
    </row>
    <row r="94" spans="15:16" x14ac:dyDescent="0.2">
      <c r="O94" s="38" t="s">
        <v>468</v>
      </c>
      <c r="P94" s="47" t="s">
        <v>140</v>
      </c>
    </row>
    <row r="95" spans="15:16" x14ac:dyDescent="0.2">
      <c r="O95" s="37" t="s">
        <v>469</v>
      </c>
      <c r="P95" s="46" t="s">
        <v>139</v>
      </c>
    </row>
    <row r="96" spans="15:16" x14ac:dyDescent="0.2">
      <c r="O96" s="38" t="s">
        <v>470</v>
      </c>
      <c r="P96" s="47" t="s">
        <v>139</v>
      </c>
    </row>
    <row r="97" spans="15:16" x14ac:dyDescent="0.2">
      <c r="O97" s="37" t="s">
        <v>471</v>
      </c>
      <c r="P97" s="46" t="s">
        <v>139</v>
      </c>
    </row>
    <row r="98" spans="15:16" x14ac:dyDescent="0.2">
      <c r="O98" s="38" t="s">
        <v>472</v>
      </c>
      <c r="P98" s="47" t="s">
        <v>139</v>
      </c>
    </row>
    <row r="99" spans="15:16" x14ac:dyDescent="0.2">
      <c r="O99" s="37" t="s">
        <v>473</v>
      </c>
      <c r="P99" s="46" t="s">
        <v>139</v>
      </c>
    </row>
    <row r="100" spans="15:16" x14ac:dyDescent="0.2">
      <c r="O100" s="38" t="s">
        <v>474</v>
      </c>
      <c r="P100" s="47" t="s">
        <v>139</v>
      </c>
    </row>
    <row r="101" spans="15:16" x14ac:dyDescent="0.2">
      <c r="O101" s="37" t="s">
        <v>475</v>
      </c>
      <c r="P101" s="46" t="s">
        <v>139</v>
      </c>
    </row>
    <row r="102" spans="15:16" x14ac:dyDescent="0.2">
      <c r="O102" s="38" t="s">
        <v>476</v>
      </c>
      <c r="P102" s="47" t="s">
        <v>139</v>
      </c>
    </row>
    <row r="103" spans="15:16" x14ac:dyDescent="0.2">
      <c r="O103" s="37" t="s">
        <v>477</v>
      </c>
      <c r="P103" s="46" t="s">
        <v>139</v>
      </c>
    </row>
    <row r="104" spans="15:16" x14ac:dyDescent="0.2">
      <c r="O104" s="38" t="s">
        <v>478</v>
      </c>
      <c r="P104" s="47" t="s">
        <v>139</v>
      </c>
    </row>
    <row r="105" spans="15:16" x14ac:dyDescent="0.2">
      <c r="O105" s="37" t="s">
        <v>479</v>
      </c>
      <c r="P105" s="46" t="s">
        <v>139</v>
      </c>
    </row>
    <row r="106" spans="15:16" x14ac:dyDescent="0.2">
      <c r="O106" s="38" t="s">
        <v>480</v>
      </c>
      <c r="P106" s="47" t="s">
        <v>139</v>
      </c>
    </row>
    <row r="107" spans="15:16" x14ac:dyDescent="0.2">
      <c r="O107" s="37" t="s">
        <v>481</v>
      </c>
      <c r="P107" s="46" t="s">
        <v>139</v>
      </c>
    </row>
    <row r="108" spans="15:16" x14ac:dyDescent="0.2">
      <c r="O108" s="38" t="s">
        <v>482</v>
      </c>
      <c r="P108" s="47" t="s">
        <v>139</v>
      </c>
    </row>
    <row r="109" spans="15:16" x14ac:dyDescent="0.2">
      <c r="O109" s="37" t="s">
        <v>483</v>
      </c>
      <c r="P109" s="46" t="s">
        <v>139</v>
      </c>
    </row>
    <row r="110" spans="15:16" x14ac:dyDescent="0.2">
      <c r="O110" s="38" t="s">
        <v>484</v>
      </c>
      <c r="P110" s="47" t="s">
        <v>138</v>
      </c>
    </row>
    <row r="111" spans="15:16" x14ac:dyDescent="0.2">
      <c r="O111" s="37" t="s">
        <v>485</v>
      </c>
      <c r="P111" s="46" t="s">
        <v>138</v>
      </c>
    </row>
    <row r="112" spans="15:16" x14ac:dyDescent="0.2">
      <c r="O112" s="38" t="s">
        <v>486</v>
      </c>
      <c r="P112" s="47" t="s">
        <v>138</v>
      </c>
    </row>
    <row r="113" spans="15:16" x14ac:dyDescent="0.2">
      <c r="O113" s="37" t="s">
        <v>487</v>
      </c>
      <c r="P113" s="46" t="s">
        <v>138</v>
      </c>
    </row>
    <row r="114" spans="15:16" x14ac:dyDescent="0.2">
      <c r="O114" s="38" t="s">
        <v>488</v>
      </c>
      <c r="P114" s="47" t="s">
        <v>138</v>
      </c>
    </row>
    <row r="115" spans="15:16" x14ac:dyDescent="0.2">
      <c r="O115" s="37" t="s">
        <v>489</v>
      </c>
      <c r="P115" s="46" t="s">
        <v>138</v>
      </c>
    </row>
    <row r="116" spans="15:16" x14ac:dyDescent="0.2">
      <c r="O116" s="38" t="s">
        <v>384</v>
      </c>
      <c r="P116" s="47" t="s">
        <v>138</v>
      </c>
    </row>
    <row r="117" spans="15:16" x14ac:dyDescent="0.2">
      <c r="O117" s="37" t="s">
        <v>490</v>
      </c>
      <c r="P117" s="46" t="s">
        <v>138</v>
      </c>
    </row>
    <row r="118" spans="15:16" x14ac:dyDescent="0.2">
      <c r="O118" s="38" t="s">
        <v>491</v>
      </c>
      <c r="P118" s="47" t="s">
        <v>138</v>
      </c>
    </row>
    <row r="119" spans="15:16" x14ac:dyDescent="0.2">
      <c r="O119" s="37" t="s">
        <v>492</v>
      </c>
      <c r="P119" s="46" t="s">
        <v>138</v>
      </c>
    </row>
    <row r="120" spans="15:16" x14ac:dyDescent="0.2">
      <c r="O120" s="38" t="s">
        <v>390</v>
      </c>
      <c r="P120" s="47" t="s">
        <v>138</v>
      </c>
    </row>
    <row r="121" spans="15:16" x14ac:dyDescent="0.2">
      <c r="O121" s="37" t="s">
        <v>391</v>
      </c>
      <c r="P121" s="46" t="s">
        <v>138</v>
      </c>
    </row>
    <row r="122" spans="15:16" x14ac:dyDescent="0.2">
      <c r="O122" s="38" t="s">
        <v>493</v>
      </c>
      <c r="P122" s="47" t="s">
        <v>138</v>
      </c>
    </row>
    <row r="123" spans="15:16" x14ac:dyDescent="0.2">
      <c r="O123" s="37" t="s">
        <v>494</v>
      </c>
      <c r="P123" s="46" t="s">
        <v>138</v>
      </c>
    </row>
    <row r="124" spans="15:16" x14ac:dyDescent="0.2">
      <c r="O124" s="38" t="s">
        <v>495</v>
      </c>
      <c r="P124" s="47" t="s">
        <v>138</v>
      </c>
    </row>
    <row r="125" spans="15:16" x14ac:dyDescent="0.2">
      <c r="O125" s="37" t="s">
        <v>496</v>
      </c>
      <c r="P125" s="46" t="s">
        <v>138</v>
      </c>
    </row>
    <row r="126" spans="15:16" x14ac:dyDescent="0.2">
      <c r="O126" s="38" t="s">
        <v>497</v>
      </c>
      <c r="P126" s="47" t="s">
        <v>138</v>
      </c>
    </row>
    <row r="127" spans="15:16" x14ac:dyDescent="0.2">
      <c r="O127" s="37" t="s">
        <v>498</v>
      </c>
      <c r="P127" s="46" t="s">
        <v>138</v>
      </c>
    </row>
    <row r="128" spans="15:16" x14ac:dyDescent="0.2">
      <c r="O128" s="38" t="s">
        <v>499</v>
      </c>
      <c r="P128" s="47" t="s">
        <v>138</v>
      </c>
    </row>
    <row r="129" spans="15:16" x14ac:dyDescent="0.2">
      <c r="O129" s="37" t="s">
        <v>400</v>
      </c>
      <c r="P129" s="46" t="s">
        <v>138</v>
      </c>
    </row>
    <row r="130" spans="15:16" x14ac:dyDescent="0.2">
      <c r="O130" s="38" t="s">
        <v>500</v>
      </c>
      <c r="P130" s="47" t="s">
        <v>138</v>
      </c>
    </row>
    <row r="131" spans="15:16" x14ac:dyDescent="0.2">
      <c r="O131" s="37" t="s">
        <v>501</v>
      </c>
      <c r="P131" s="46" t="s">
        <v>138</v>
      </c>
    </row>
    <row r="132" spans="15:16" x14ac:dyDescent="0.2">
      <c r="O132" s="38" t="s">
        <v>502</v>
      </c>
      <c r="P132" s="47" t="s">
        <v>138</v>
      </c>
    </row>
    <row r="133" spans="15:16" x14ac:dyDescent="0.2">
      <c r="O133" s="37" t="s">
        <v>406</v>
      </c>
      <c r="P133" s="46" t="s">
        <v>138</v>
      </c>
    </row>
    <row r="134" spans="15:16" x14ac:dyDescent="0.2">
      <c r="O134" s="38" t="s">
        <v>503</v>
      </c>
      <c r="P134" s="47" t="s">
        <v>138</v>
      </c>
    </row>
    <row r="135" spans="15:16" x14ac:dyDescent="0.2">
      <c r="O135" s="37" t="s">
        <v>504</v>
      </c>
      <c r="P135" s="46" t="s">
        <v>138</v>
      </c>
    </row>
    <row r="136" spans="15:16" x14ac:dyDescent="0.2">
      <c r="O136" s="38" t="s">
        <v>505</v>
      </c>
      <c r="P136" s="47" t="s">
        <v>138</v>
      </c>
    </row>
    <row r="137" spans="15:16" x14ac:dyDescent="0.2">
      <c r="O137" s="37" t="s">
        <v>408</v>
      </c>
      <c r="P137" s="46" t="s">
        <v>138</v>
      </c>
    </row>
    <row r="138" spans="15:16" x14ac:dyDescent="0.2">
      <c r="O138" s="38" t="s">
        <v>506</v>
      </c>
      <c r="P138" s="47" t="s">
        <v>138</v>
      </c>
    </row>
    <row r="139" spans="15:16" x14ac:dyDescent="0.2">
      <c r="O139" s="37" t="s">
        <v>507</v>
      </c>
      <c r="P139" s="46" t="s">
        <v>138</v>
      </c>
    </row>
    <row r="140" spans="15:16" x14ac:dyDescent="0.2">
      <c r="O140" s="38" t="s">
        <v>508</v>
      </c>
      <c r="P140" s="47" t="s">
        <v>138</v>
      </c>
    </row>
    <row r="141" spans="15:16" x14ac:dyDescent="0.2">
      <c r="O141" s="37" t="s">
        <v>509</v>
      </c>
      <c r="P141" s="46" t="s">
        <v>138</v>
      </c>
    </row>
    <row r="142" spans="15:16" x14ac:dyDescent="0.2">
      <c r="O142" s="38" t="s">
        <v>510</v>
      </c>
      <c r="P142" s="47" t="s">
        <v>138</v>
      </c>
    </row>
    <row r="143" spans="15:16" x14ac:dyDescent="0.2">
      <c r="O143" s="37" t="s">
        <v>412</v>
      </c>
      <c r="P143" s="46" t="s">
        <v>138</v>
      </c>
    </row>
    <row r="144" spans="15:16" x14ac:dyDescent="0.2">
      <c r="O144" s="38" t="s">
        <v>413</v>
      </c>
      <c r="P144" s="47" t="s">
        <v>138</v>
      </c>
    </row>
    <row r="145" spans="15:16" x14ac:dyDescent="0.2">
      <c r="O145" s="37" t="s">
        <v>511</v>
      </c>
      <c r="P145" s="46" t="s">
        <v>138</v>
      </c>
    </row>
    <row r="146" spans="15:16" x14ac:dyDescent="0.2">
      <c r="O146" s="38" t="s">
        <v>512</v>
      </c>
      <c r="P146" s="47" t="s">
        <v>138</v>
      </c>
    </row>
    <row r="147" spans="15:16" x14ac:dyDescent="0.2">
      <c r="O147" s="37" t="s">
        <v>416</v>
      </c>
      <c r="P147" s="46" t="s">
        <v>138</v>
      </c>
    </row>
    <row r="148" spans="15:16" x14ac:dyDescent="0.2">
      <c r="O148" s="38" t="s">
        <v>417</v>
      </c>
      <c r="P148" s="47" t="s">
        <v>138</v>
      </c>
    </row>
    <row r="149" spans="15:16" x14ac:dyDescent="0.2">
      <c r="O149" s="37" t="s">
        <v>513</v>
      </c>
      <c r="P149" s="46" t="s">
        <v>138</v>
      </c>
    </row>
    <row r="150" spans="15:16" x14ac:dyDescent="0.2">
      <c r="O150" s="38" t="s">
        <v>514</v>
      </c>
      <c r="P150" s="47" t="s">
        <v>138</v>
      </c>
    </row>
    <row r="151" spans="15:16" x14ac:dyDescent="0.2">
      <c r="O151" s="37" t="s">
        <v>515</v>
      </c>
      <c r="P151" s="46" t="s">
        <v>138</v>
      </c>
    </row>
    <row r="152" spans="15:16" x14ac:dyDescent="0.2">
      <c r="O152" s="38" t="s">
        <v>516</v>
      </c>
      <c r="P152" s="47" t="s">
        <v>138</v>
      </c>
    </row>
    <row r="153" spans="15:16" x14ac:dyDescent="0.2">
      <c r="O153" s="37" t="s">
        <v>421</v>
      </c>
      <c r="P153" s="46" t="s">
        <v>138</v>
      </c>
    </row>
    <row r="154" spans="15:16" x14ac:dyDescent="0.2">
      <c r="O154" s="38" t="s">
        <v>423</v>
      </c>
      <c r="P154" s="47" t="s">
        <v>138</v>
      </c>
    </row>
    <row r="155" spans="15:16" x14ac:dyDescent="0.2">
      <c r="O155" s="37" t="s">
        <v>517</v>
      </c>
      <c r="P155" s="46" t="s">
        <v>138</v>
      </c>
    </row>
    <row r="156" spans="15:16" x14ac:dyDescent="0.2">
      <c r="O156" s="38" t="s">
        <v>518</v>
      </c>
      <c r="P156" s="47" t="s">
        <v>138</v>
      </c>
    </row>
    <row r="157" spans="15:16" x14ac:dyDescent="0.2">
      <c r="O157" s="37" t="s">
        <v>426</v>
      </c>
      <c r="P157" s="46" t="s">
        <v>138</v>
      </c>
    </row>
    <row r="158" spans="15:16" x14ac:dyDescent="0.2">
      <c r="O158" s="38" t="s">
        <v>427</v>
      </c>
      <c r="P158" s="47" t="s">
        <v>138</v>
      </c>
    </row>
    <row r="159" spans="15:16" x14ac:dyDescent="0.2">
      <c r="O159" s="37" t="s">
        <v>519</v>
      </c>
      <c r="P159" s="46" t="s">
        <v>138</v>
      </c>
    </row>
    <row r="160" spans="15:16" x14ac:dyDescent="0.2">
      <c r="O160" s="38" t="s">
        <v>520</v>
      </c>
      <c r="P160" s="47" t="s">
        <v>138</v>
      </c>
    </row>
    <row r="161" spans="15:16" x14ac:dyDescent="0.2">
      <c r="O161" s="37" t="s">
        <v>521</v>
      </c>
      <c r="P161" s="46" t="s">
        <v>138</v>
      </c>
    </row>
    <row r="162" spans="15:16" x14ac:dyDescent="0.2">
      <c r="O162" s="38" t="s">
        <v>429</v>
      </c>
      <c r="P162" s="47" t="s">
        <v>138</v>
      </c>
    </row>
    <row r="163" spans="15:16" x14ac:dyDescent="0.2">
      <c r="O163" s="37" t="s">
        <v>522</v>
      </c>
      <c r="P163" s="46" t="s">
        <v>138</v>
      </c>
    </row>
    <row r="164" spans="15:16" x14ac:dyDescent="0.2">
      <c r="O164" s="38" t="s">
        <v>431</v>
      </c>
      <c r="P164" s="47" t="s">
        <v>138</v>
      </c>
    </row>
    <row r="165" spans="15:16" x14ac:dyDescent="0.2">
      <c r="O165" s="37" t="s">
        <v>523</v>
      </c>
      <c r="P165" s="46" t="s">
        <v>138</v>
      </c>
    </row>
    <row r="166" spans="15:16" x14ac:dyDescent="0.2">
      <c r="O166" s="38" t="s">
        <v>524</v>
      </c>
      <c r="P166" s="47" t="s">
        <v>138</v>
      </c>
    </row>
    <row r="167" spans="15:16" x14ac:dyDescent="0.2">
      <c r="O167" s="37" t="s">
        <v>525</v>
      </c>
      <c r="P167" s="46" t="s">
        <v>138</v>
      </c>
    </row>
    <row r="168" spans="15:16" x14ac:dyDescent="0.2">
      <c r="O168" s="38" t="s">
        <v>526</v>
      </c>
      <c r="P168" s="47" t="s">
        <v>138</v>
      </c>
    </row>
    <row r="169" spans="15:16" x14ac:dyDescent="0.2">
      <c r="O169" s="37" t="s">
        <v>527</v>
      </c>
      <c r="P169" s="46" t="s">
        <v>138</v>
      </c>
    </row>
    <row r="170" spans="15:16" x14ac:dyDescent="0.2">
      <c r="O170" s="38" t="s">
        <v>432</v>
      </c>
      <c r="P170" s="47" t="s">
        <v>138</v>
      </c>
    </row>
    <row r="171" spans="15:16" x14ac:dyDescent="0.2">
      <c r="O171" s="37" t="s">
        <v>528</v>
      </c>
      <c r="P171" s="46" t="s">
        <v>138</v>
      </c>
    </row>
    <row r="172" spans="15:16" x14ac:dyDescent="0.2">
      <c r="O172" s="38" t="s">
        <v>529</v>
      </c>
      <c r="P172" s="47" t="s">
        <v>138</v>
      </c>
    </row>
    <row r="173" spans="15:16" x14ac:dyDescent="0.2">
      <c r="O173" s="37" t="s">
        <v>530</v>
      </c>
      <c r="P173" s="46" t="s">
        <v>138</v>
      </c>
    </row>
    <row r="174" spans="15:16" x14ac:dyDescent="0.2">
      <c r="O174" s="38" t="s">
        <v>531</v>
      </c>
      <c r="P174" s="47" t="s">
        <v>138</v>
      </c>
    </row>
    <row r="175" spans="15:16" x14ac:dyDescent="0.2">
      <c r="O175" s="37" t="s">
        <v>532</v>
      </c>
      <c r="P175" s="46" t="s">
        <v>138</v>
      </c>
    </row>
    <row r="176" spans="15:16" x14ac:dyDescent="0.2">
      <c r="O176" s="38" t="s">
        <v>533</v>
      </c>
      <c r="P176" s="47" t="s">
        <v>138</v>
      </c>
    </row>
    <row r="177" spans="15:16" x14ac:dyDescent="0.2">
      <c r="O177" s="37" t="s">
        <v>534</v>
      </c>
      <c r="P177" s="46" t="s">
        <v>138</v>
      </c>
    </row>
    <row r="178" spans="15:16" x14ac:dyDescent="0.2">
      <c r="O178" s="38" t="s">
        <v>535</v>
      </c>
      <c r="P178" s="47" t="s">
        <v>138</v>
      </c>
    </row>
    <row r="179" spans="15:16" x14ac:dyDescent="0.2">
      <c r="O179" s="37" t="s">
        <v>536</v>
      </c>
      <c r="P179" s="46" t="s">
        <v>138</v>
      </c>
    </row>
    <row r="180" spans="15:16" x14ac:dyDescent="0.2">
      <c r="O180" s="38" t="s">
        <v>537</v>
      </c>
      <c r="P180" s="47" t="s">
        <v>138</v>
      </c>
    </row>
    <row r="181" spans="15:16" x14ac:dyDescent="0.2">
      <c r="O181" s="37" t="s">
        <v>441</v>
      </c>
      <c r="P181" s="46" t="s">
        <v>138</v>
      </c>
    </row>
    <row r="182" spans="15:16" x14ac:dyDescent="0.2">
      <c r="O182" s="38" t="s">
        <v>538</v>
      </c>
      <c r="P182" s="47" t="s">
        <v>138</v>
      </c>
    </row>
    <row r="183" spans="15:16" x14ac:dyDescent="0.2">
      <c r="O183" s="37" t="s">
        <v>539</v>
      </c>
      <c r="P183" s="46" t="s">
        <v>138</v>
      </c>
    </row>
    <row r="184" spans="15:16" x14ac:dyDescent="0.2">
      <c r="O184" s="38" t="s">
        <v>540</v>
      </c>
      <c r="P184" s="47" t="s">
        <v>138</v>
      </c>
    </row>
    <row r="185" spans="15:16" x14ac:dyDescent="0.2">
      <c r="O185" s="37" t="s">
        <v>541</v>
      </c>
      <c r="P185" s="46" t="s">
        <v>137</v>
      </c>
    </row>
    <row r="186" spans="15:16" x14ac:dyDescent="0.2">
      <c r="O186" s="38" t="s">
        <v>542</v>
      </c>
      <c r="P186" s="47" t="s">
        <v>137</v>
      </c>
    </row>
    <row r="187" spans="15:16" x14ac:dyDescent="0.2">
      <c r="O187" s="37" t="s">
        <v>543</v>
      </c>
      <c r="P187" s="46" t="s">
        <v>137</v>
      </c>
    </row>
    <row r="188" spans="15:16" x14ac:dyDescent="0.2">
      <c r="O188" s="38" t="s">
        <v>544</v>
      </c>
      <c r="P188" s="47" t="s">
        <v>137</v>
      </c>
    </row>
    <row r="189" spans="15:16" x14ac:dyDescent="0.2">
      <c r="O189" s="37" t="s">
        <v>545</v>
      </c>
      <c r="P189" s="46" t="s">
        <v>137</v>
      </c>
    </row>
    <row r="190" spans="15:16" x14ac:dyDescent="0.2">
      <c r="O190" s="38" t="s">
        <v>546</v>
      </c>
      <c r="P190" s="47" t="s">
        <v>137</v>
      </c>
    </row>
    <row r="191" spans="15:16" x14ac:dyDescent="0.2">
      <c r="O191" s="37" t="s">
        <v>547</v>
      </c>
      <c r="P191" s="46" t="s">
        <v>137</v>
      </c>
    </row>
    <row r="192" spans="15:16" x14ac:dyDescent="0.2">
      <c r="O192" s="38" t="s">
        <v>548</v>
      </c>
      <c r="P192" s="47" t="s">
        <v>137</v>
      </c>
    </row>
    <row r="193" spans="15:16" x14ac:dyDescent="0.2">
      <c r="O193" s="37" t="s">
        <v>549</v>
      </c>
      <c r="P193" s="46" t="s">
        <v>137</v>
      </c>
    </row>
    <row r="194" spans="15:16" x14ac:dyDescent="0.2">
      <c r="O194" s="38" t="s">
        <v>550</v>
      </c>
      <c r="P194" s="47" t="s">
        <v>137</v>
      </c>
    </row>
    <row r="195" spans="15:16" x14ac:dyDescent="0.2">
      <c r="O195" s="37" t="s">
        <v>551</v>
      </c>
      <c r="P195" s="46" t="s">
        <v>137</v>
      </c>
    </row>
    <row r="196" spans="15:16" x14ac:dyDescent="0.2">
      <c r="O196" s="38" t="s">
        <v>552</v>
      </c>
      <c r="P196" s="47" t="s">
        <v>137</v>
      </c>
    </row>
    <row r="197" spans="15:16" x14ac:dyDescent="0.2">
      <c r="O197" s="37" t="s">
        <v>553</v>
      </c>
      <c r="P197" s="46" t="s">
        <v>137</v>
      </c>
    </row>
    <row r="198" spans="15:16" x14ac:dyDescent="0.2">
      <c r="O198" s="38" t="s">
        <v>554</v>
      </c>
      <c r="P198" s="47" t="s">
        <v>137</v>
      </c>
    </row>
    <row r="199" spans="15:16" x14ac:dyDescent="0.2">
      <c r="O199" s="37" t="s">
        <v>555</v>
      </c>
      <c r="P199" s="46" t="s">
        <v>137</v>
      </c>
    </row>
    <row r="200" spans="15:16" x14ac:dyDescent="0.2">
      <c r="O200" s="38" t="s">
        <v>556</v>
      </c>
      <c r="P200" s="47" t="s">
        <v>137</v>
      </c>
    </row>
    <row r="201" spans="15:16" x14ac:dyDescent="0.2">
      <c r="O201" s="37" t="s">
        <v>557</v>
      </c>
      <c r="P201" s="46" t="s">
        <v>137</v>
      </c>
    </row>
    <row r="202" spans="15:16" x14ac:dyDescent="0.2">
      <c r="O202" s="38" t="s">
        <v>558</v>
      </c>
      <c r="P202" s="47" t="s">
        <v>137</v>
      </c>
    </row>
    <row r="203" spans="15:16" x14ac:dyDescent="0.2">
      <c r="O203" s="37" t="s">
        <v>559</v>
      </c>
      <c r="P203" s="46" t="s">
        <v>137</v>
      </c>
    </row>
    <row r="204" spans="15:16" x14ac:dyDescent="0.2">
      <c r="O204" s="38" t="s">
        <v>560</v>
      </c>
      <c r="P204" s="47" t="s">
        <v>137</v>
      </c>
    </row>
    <row r="205" spans="15:16" x14ac:dyDescent="0.2">
      <c r="O205" s="37" t="s">
        <v>561</v>
      </c>
      <c r="P205" s="46" t="s">
        <v>137</v>
      </c>
    </row>
    <row r="206" spans="15:16" x14ac:dyDescent="0.2">
      <c r="O206" s="38" t="s">
        <v>562</v>
      </c>
      <c r="P206" s="47" t="s">
        <v>137</v>
      </c>
    </row>
    <row r="207" spans="15:16" x14ac:dyDescent="0.2">
      <c r="O207" s="37" t="s">
        <v>563</v>
      </c>
      <c r="P207" s="46" t="s">
        <v>137</v>
      </c>
    </row>
    <row r="208" spans="15:16" x14ac:dyDescent="0.2">
      <c r="O208" s="38" t="s">
        <v>564</v>
      </c>
      <c r="P208" s="47" t="s">
        <v>137</v>
      </c>
    </row>
    <row r="209" spans="15:16" x14ac:dyDescent="0.2">
      <c r="O209" s="37" t="s">
        <v>565</v>
      </c>
      <c r="P209" s="46" t="s">
        <v>137</v>
      </c>
    </row>
    <row r="210" spans="15:16" x14ac:dyDescent="0.2">
      <c r="O210" s="38" t="s">
        <v>566</v>
      </c>
      <c r="P210" s="47" t="s">
        <v>137</v>
      </c>
    </row>
    <row r="211" spans="15:16" x14ac:dyDescent="0.2">
      <c r="O211" s="37" t="s">
        <v>567</v>
      </c>
      <c r="P211" s="46" t="s">
        <v>137</v>
      </c>
    </row>
    <row r="212" spans="15:16" x14ac:dyDescent="0.2">
      <c r="O212" s="38" t="s">
        <v>568</v>
      </c>
      <c r="P212" s="47" t="s">
        <v>137</v>
      </c>
    </row>
    <row r="213" spans="15:16" x14ac:dyDescent="0.2">
      <c r="O213" s="37" t="s">
        <v>519</v>
      </c>
      <c r="P213" s="46" t="s">
        <v>137</v>
      </c>
    </row>
    <row r="214" spans="15:16" x14ac:dyDescent="0.2">
      <c r="O214" s="38" t="s">
        <v>569</v>
      </c>
      <c r="P214" s="47" t="s">
        <v>137</v>
      </c>
    </row>
    <row r="215" spans="15:16" x14ac:dyDescent="0.2">
      <c r="O215" s="37" t="s">
        <v>570</v>
      </c>
      <c r="P215" s="46" t="s">
        <v>137</v>
      </c>
    </row>
    <row r="216" spans="15:16" x14ac:dyDescent="0.2">
      <c r="O216" s="38" t="s">
        <v>571</v>
      </c>
      <c r="P216" s="47" t="s">
        <v>137</v>
      </c>
    </row>
    <row r="217" spans="15:16" x14ac:dyDescent="0.2">
      <c r="O217" s="37" t="s">
        <v>572</v>
      </c>
      <c r="P217" s="46" t="s">
        <v>137</v>
      </c>
    </row>
    <row r="218" spans="15:16" x14ac:dyDescent="0.2">
      <c r="O218" s="38" t="s">
        <v>573</v>
      </c>
      <c r="P218" s="47" t="s">
        <v>137</v>
      </c>
    </row>
    <row r="219" spans="15:16" x14ac:dyDescent="0.2">
      <c r="O219" s="37" t="s">
        <v>574</v>
      </c>
      <c r="P219" s="46" t="s">
        <v>137</v>
      </c>
    </row>
    <row r="220" spans="15:16" x14ac:dyDescent="0.2">
      <c r="O220" s="38" t="s">
        <v>575</v>
      </c>
      <c r="P220" s="47" t="s">
        <v>137</v>
      </c>
    </row>
    <row r="221" spans="15:16" x14ac:dyDescent="0.2">
      <c r="O221" s="37" t="s">
        <v>576</v>
      </c>
      <c r="P221" s="46" t="s">
        <v>137</v>
      </c>
    </row>
    <row r="222" spans="15:16" x14ac:dyDescent="0.2">
      <c r="O222" s="38" t="s">
        <v>577</v>
      </c>
      <c r="P222" s="47" t="s">
        <v>137</v>
      </c>
    </row>
    <row r="223" spans="15:16" x14ac:dyDescent="0.2">
      <c r="O223" s="37" t="s">
        <v>578</v>
      </c>
      <c r="P223" s="46" t="s">
        <v>137</v>
      </c>
    </row>
    <row r="224" spans="15:16" x14ac:dyDescent="0.2">
      <c r="O224" s="38" t="s">
        <v>579</v>
      </c>
      <c r="P224" s="47" t="s">
        <v>137</v>
      </c>
    </row>
    <row r="225" spans="15:16" x14ac:dyDescent="0.2">
      <c r="O225" s="37" t="s">
        <v>580</v>
      </c>
      <c r="P225" s="46" t="s">
        <v>137</v>
      </c>
    </row>
    <row r="226" spans="15:16" x14ac:dyDescent="0.2">
      <c r="O226" s="38" t="s">
        <v>581</v>
      </c>
      <c r="P226" s="47" t="s">
        <v>137</v>
      </c>
    </row>
    <row r="227" spans="15:16" x14ac:dyDescent="0.2">
      <c r="O227" s="37" t="s">
        <v>582</v>
      </c>
      <c r="P227" s="46" t="s">
        <v>137</v>
      </c>
    </row>
    <row r="228" spans="15:16" x14ac:dyDescent="0.2">
      <c r="O228" s="38" t="s">
        <v>481</v>
      </c>
      <c r="P228" s="47" t="s">
        <v>137</v>
      </c>
    </row>
    <row r="229" spans="15:16" x14ac:dyDescent="0.2">
      <c r="O229" s="37" t="s">
        <v>583</v>
      </c>
      <c r="P229" s="46" t="s">
        <v>137</v>
      </c>
    </row>
    <row r="230" spans="15:16" x14ac:dyDescent="0.2">
      <c r="O230" s="38" t="s">
        <v>584</v>
      </c>
      <c r="P230" s="47" t="s">
        <v>137</v>
      </c>
    </row>
    <row r="231" spans="15:16" x14ac:dyDescent="0.2">
      <c r="O231" s="37" t="s">
        <v>585</v>
      </c>
      <c r="P231" s="46" t="s">
        <v>137</v>
      </c>
    </row>
    <row r="232" spans="15:16" x14ac:dyDescent="0.2">
      <c r="O232" s="38" t="s">
        <v>586</v>
      </c>
      <c r="P232" s="47" t="s">
        <v>137</v>
      </c>
    </row>
    <row r="233" spans="15:16" x14ac:dyDescent="0.2">
      <c r="O233" s="37" t="s">
        <v>587</v>
      </c>
      <c r="P233" s="46" t="s">
        <v>137</v>
      </c>
    </row>
    <row r="234" spans="15:16" x14ac:dyDescent="0.2">
      <c r="O234" s="38" t="s">
        <v>588</v>
      </c>
      <c r="P234" s="47" t="s">
        <v>137</v>
      </c>
    </row>
    <row r="235" spans="15:16" x14ac:dyDescent="0.2">
      <c r="O235" s="37" t="s">
        <v>589</v>
      </c>
      <c r="P235" s="46" t="s">
        <v>137</v>
      </c>
    </row>
    <row r="236" spans="15:16" x14ac:dyDescent="0.2">
      <c r="O236" s="38" t="s">
        <v>590</v>
      </c>
      <c r="P236" s="47" t="s">
        <v>137</v>
      </c>
    </row>
    <row r="237" spans="15:16" x14ac:dyDescent="0.2">
      <c r="O237" s="37" t="s">
        <v>591</v>
      </c>
      <c r="P237" s="46" t="s">
        <v>137</v>
      </c>
    </row>
    <row r="238" spans="15:16" x14ac:dyDescent="0.2">
      <c r="O238" s="38" t="s">
        <v>592</v>
      </c>
      <c r="P238" s="47" t="s">
        <v>137</v>
      </c>
    </row>
    <row r="239" spans="15:16" x14ac:dyDescent="0.2">
      <c r="O239" s="37" t="s">
        <v>593</v>
      </c>
      <c r="P239" s="46" t="s">
        <v>137</v>
      </c>
    </row>
    <row r="240" spans="15:16" x14ac:dyDescent="0.2">
      <c r="O240" s="38" t="s">
        <v>594</v>
      </c>
      <c r="P240" s="47" t="s">
        <v>137</v>
      </c>
    </row>
    <row r="241" spans="15:16" x14ac:dyDescent="0.2">
      <c r="O241" s="37" t="s">
        <v>595</v>
      </c>
      <c r="P241" s="46" t="s">
        <v>137</v>
      </c>
    </row>
    <row r="242" spans="15:16" x14ac:dyDescent="0.2">
      <c r="O242" s="38" t="s">
        <v>596</v>
      </c>
      <c r="P242" s="47" t="s">
        <v>137</v>
      </c>
    </row>
    <row r="243" spans="15:16" x14ac:dyDescent="0.2">
      <c r="O243" s="37" t="s">
        <v>597</v>
      </c>
      <c r="P243" s="46" t="s">
        <v>136</v>
      </c>
    </row>
    <row r="244" spans="15:16" x14ac:dyDescent="0.2">
      <c r="O244" s="38" t="s">
        <v>598</v>
      </c>
      <c r="P244" s="47" t="s">
        <v>136</v>
      </c>
    </row>
    <row r="245" spans="15:16" x14ac:dyDescent="0.2">
      <c r="O245" s="37" t="s">
        <v>599</v>
      </c>
      <c r="P245" s="46" t="s">
        <v>136</v>
      </c>
    </row>
    <row r="246" spans="15:16" x14ac:dyDescent="0.2">
      <c r="O246" s="38" t="s">
        <v>600</v>
      </c>
      <c r="P246" s="47" t="s">
        <v>136</v>
      </c>
    </row>
    <row r="247" spans="15:16" x14ac:dyDescent="0.2">
      <c r="O247" s="37" t="s">
        <v>601</v>
      </c>
      <c r="P247" s="46" t="s">
        <v>136</v>
      </c>
    </row>
    <row r="248" spans="15:16" x14ac:dyDescent="0.2">
      <c r="O248" s="38" t="s">
        <v>602</v>
      </c>
      <c r="P248" s="47" t="s">
        <v>136</v>
      </c>
    </row>
    <row r="249" spans="15:16" x14ac:dyDescent="0.2">
      <c r="O249" s="37" t="s">
        <v>603</v>
      </c>
      <c r="P249" s="46" t="s">
        <v>136</v>
      </c>
    </row>
    <row r="250" spans="15:16" x14ac:dyDescent="0.2">
      <c r="O250" s="38" t="s">
        <v>604</v>
      </c>
      <c r="P250" s="47" t="s">
        <v>136</v>
      </c>
    </row>
    <row r="251" spans="15:16" x14ac:dyDescent="0.2">
      <c r="O251" s="37" t="s">
        <v>605</v>
      </c>
      <c r="P251" s="46" t="s">
        <v>136</v>
      </c>
    </row>
    <row r="252" spans="15:16" x14ac:dyDescent="0.2">
      <c r="O252" s="38" t="s">
        <v>606</v>
      </c>
      <c r="P252" s="47" t="s">
        <v>136</v>
      </c>
    </row>
    <row r="253" spans="15:16" x14ac:dyDescent="0.2">
      <c r="O253" s="37" t="s">
        <v>607</v>
      </c>
      <c r="P253" s="46" t="s">
        <v>136</v>
      </c>
    </row>
    <row r="254" spans="15:16" x14ac:dyDescent="0.2">
      <c r="O254" s="38" t="s">
        <v>608</v>
      </c>
      <c r="P254" s="47" t="s">
        <v>136</v>
      </c>
    </row>
    <row r="255" spans="15:16" x14ac:dyDescent="0.2">
      <c r="O255" s="37" t="s">
        <v>609</v>
      </c>
      <c r="P255" s="46" t="s">
        <v>136</v>
      </c>
    </row>
    <row r="256" spans="15:16" x14ac:dyDescent="0.2">
      <c r="O256" s="38" t="s">
        <v>610</v>
      </c>
      <c r="P256" s="47" t="s">
        <v>136</v>
      </c>
    </row>
    <row r="257" spans="15:16" x14ac:dyDescent="0.2">
      <c r="O257" s="37" t="s">
        <v>611</v>
      </c>
      <c r="P257" s="46" t="s">
        <v>136</v>
      </c>
    </row>
    <row r="258" spans="15:16" x14ac:dyDescent="0.2">
      <c r="O258" s="38" t="s">
        <v>612</v>
      </c>
      <c r="P258" s="47" t="s">
        <v>136</v>
      </c>
    </row>
    <row r="259" spans="15:16" x14ac:dyDescent="0.2">
      <c r="O259" s="37" t="s">
        <v>613</v>
      </c>
      <c r="P259" s="46" t="s">
        <v>136</v>
      </c>
    </row>
    <row r="260" spans="15:16" x14ac:dyDescent="0.2">
      <c r="O260" s="38" t="s">
        <v>614</v>
      </c>
      <c r="P260" s="47" t="s">
        <v>136</v>
      </c>
    </row>
    <row r="261" spans="15:16" x14ac:dyDescent="0.2">
      <c r="O261" s="37" t="s">
        <v>615</v>
      </c>
      <c r="P261" s="46" t="s">
        <v>136</v>
      </c>
    </row>
    <row r="262" spans="15:16" x14ac:dyDescent="0.2">
      <c r="O262" s="38" t="s">
        <v>616</v>
      </c>
      <c r="P262" s="47" t="s">
        <v>136</v>
      </c>
    </row>
    <row r="263" spans="15:16" x14ac:dyDescent="0.2">
      <c r="O263" s="37" t="s">
        <v>617</v>
      </c>
      <c r="P263" s="46" t="s">
        <v>136</v>
      </c>
    </row>
    <row r="264" spans="15:16" x14ac:dyDescent="0.2">
      <c r="O264" s="38" t="s">
        <v>618</v>
      </c>
      <c r="P264" s="47" t="s">
        <v>136</v>
      </c>
    </row>
    <row r="265" spans="15:16" x14ac:dyDescent="0.2">
      <c r="O265" s="37" t="s">
        <v>619</v>
      </c>
      <c r="P265" s="46" t="s">
        <v>136</v>
      </c>
    </row>
    <row r="266" spans="15:16" x14ac:dyDescent="0.2">
      <c r="O266" s="38" t="s">
        <v>620</v>
      </c>
      <c r="P266" s="47" t="s">
        <v>136</v>
      </c>
    </row>
    <row r="267" spans="15:16" x14ac:dyDescent="0.2">
      <c r="O267" s="37" t="s">
        <v>621</v>
      </c>
      <c r="P267" s="46" t="s">
        <v>136</v>
      </c>
    </row>
    <row r="268" spans="15:16" x14ac:dyDescent="0.2">
      <c r="O268" s="38" t="s">
        <v>622</v>
      </c>
      <c r="P268" s="47" t="s">
        <v>136</v>
      </c>
    </row>
    <row r="269" spans="15:16" x14ac:dyDescent="0.2">
      <c r="O269" s="37" t="s">
        <v>623</v>
      </c>
      <c r="P269" s="46" t="s">
        <v>136</v>
      </c>
    </row>
    <row r="270" spans="15:16" x14ac:dyDescent="0.2">
      <c r="O270" s="38" t="s">
        <v>624</v>
      </c>
      <c r="P270" s="47" t="s">
        <v>136</v>
      </c>
    </row>
    <row r="271" spans="15:16" x14ac:dyDescent="0.2">
      <c r="O271" s="37" t="s">
        <v>412</v>
      </c>
      <c r="P271" s="46" t="s">
        <v>136</v>
      </c>
    </row>
    <row r="272" spans="15:16" x14ac:dyDescent="0.2">
      <c r="O272" s="38" t="s">
        <v>413</v>
      </c>
      <c r="P272" s="47" t="s">
        <v>136</v>
      </c>
    </row>
    <row r="273" spans="15:16" x14ac:dyDescent="0.2">
      <c r="O273" s="37" t="s">
        <v>625</v>
      </c>
      <c r="P273" s="46" t="s">
        <v>136</v>
      </c>
    </row>
    <row r="274" spans="15:16" x14ac:dyDescent="0.2">
      <c r="O274" s="38" t="s">
        <v>626</v>
      </c>
      <c r="P274" s="47" t="s">
        <v>136</v>
      </c>
    </row>
    <row r="275" spans="15:16" x14ac:dyDescent="0.2">
      <c r="O275" s="37" t="s">
        <v>557</v>
      </c>
      <c r="P275" s="46" t="s">
        <v>136</v>
      </c>
    </row>
    <row r="276" spans="15:16" x14ac:dyDescent="0.2">
      <c r="O276" s="38" t="s">
        <v>627</v>
      </c>
      <c r="P276" s="47" t="s">
        <v>136</v>
      </c>
    </row>
    <row r="277" spans="15:16" x14ac:dyDescent="0.2">
      <c r="O277" s="37" t="s">
        <v>628</v>
      </c>
      <c r="P277" s="46" t="s">
        <v>136</v>
      </c>
    </row>
    <row r="278" spans="15:16" x14ac:dyDescent="0.2">
      <c r="O278" s="38" t="s">
        <v>629</v>
      </c>
      <c r="P278" s="47" t="s">
        <v>136</v>
      </c>
    </row>
    <row r="279" spans="15:16" x14ac:dyDescent="0.2">
      <c r="O279" s="37" t="s">
        <v>513</v>
      </c>
      <c r="P279" s="46" t="s">
        <v>136</v>
      </c>
    </row>
    <row r="280" spans="15:16" x14ac:dyDescent="0.2">
      <c r="O280" s="38" t="s">
        <v>515</v>
      </c>
      <c r="P280" s="47" t="s">
        <v>136</v>
      </c>
    </row>
    <row r="281" spans="15:16" x14ac:dyDescent="0.2">
      <c r="O281" s="37" t="s">
        <v>630</v>
      </c>
      <c r="P281" s="46" t="s">
        <v>136</v>
      </c>
    </row>
    <row r="282" spans="15:16" x14ac:dyDescent="0.2">
      <c r="O282" s="38" t="s">
        <v>631</v>
      </c>
      <c r="P282" s="47" t="s">
        <v>136</v>
      </c>
    </row>
    <row r="283" spans="15:16" x14ac:dyDescent="0.2">
      <c r="O283" s="37" t="s">
        <v>632</v>
      </c>
      <c r="P283" s="46" t="s">
        <v>136</v>
      </c>
    </row>
    <row r="284" spans="15:16" x14ac:dyDescent="0.2">
      <c r="O284" s="38" t="s">
        <v>633</v>
      </c>
      <c r="P284" s="47" t="s">
        <v>136</v>
      </c>
    </row>
    <row r="285" spans="15:16" x14ac:dyDescent="0.2">
      <c r="O285" s="37" t="s">
        <v>634</v>
      </c>
      <c r="P285" s="46" t="s">
        <v>136</v>
      </c>
    </row>
    <row r="286" spans="15:16" x14ac:dyDescent="0.2">
      <c r="O286" s="38" t="s">
        <v>428</v>
      </c>
      <c r="P286" s="47" t="s">
        <v>136</v>
      </c>
    </row>
    <row r="287" spans="15:16" x14ac:dyDescent="0.2">
      <c r="O287" s="37" t="s">
        <v>635</v>
      </c>
      <c r="P287" s="46" t="s">
        <v>136</v>
      </c>
    </row>
    <row r="288" spans="15:16" x14ac:dyDescent="0.2">
      <c r="O288" s="38" t="s">
        <v>636</v>
      </c>
      <c r="P288" s="47" t="s">
        <v>136</v>
      </c>
    </row>
    <row r="289" spans="15:16" x14ac:dyDescent="0.2">
      <c r="O289" s="37" t="s">
        <v>637</v>
      </c>
      <c r="P289" s="46" t="s">
        <v>136</v>
      </c>
    </row>
    <row r="290" spans="15:16" x14ac:dyDescent="0.2">
      <c r="O290" s="38" t="s">
        <v>522</v>
      </c>
      <c r="P290" s="47" t="s">
        <v>136</v>
      </c>
    </row>
    <row r="291" spans="15:16" x14ac:dyDescent="0.2">
      <c r="O291" s="37" t="s">
        <v>638</v>
      </c>
      <c r="P291" s="46" t="s">
        <v>136</v>
      </c>
    </row>
    <row r="292" spans="15:16" x14ac:dyDescent="0.2">
      <c r="O292" s="38" t="s">
        <v>639</v>
      </c>
      <c r="P292" s="47" t="s">
        <v>136</v>
      </c>
    </row>
    <row r="293" spans="15:16" x14ac:dyDescent="0.2">
      <c r="O293" s="37" t="s">
        <v>640</v>
      </c>
      <c r="P293" s="46" t="s">
        <v>136</v>
      </c>
    </row>
    <row r="294" spans="15:16" x14ac:dyDescent="0.2">
      <c r="O294" s="38" t="s">
        <v>641</v>
      </c>
      <c r="P294" s="47" t="s">
        <v>136</v>
      </c>
    </row>
    <row r="295" spans="15:16" x14ac:dyDescent="0.2">
      <c r="O295" s="37" t="s">
        <v>642</v>
      </c>
      <c r="P295" s="46" t="s">
        <v>136</v>
      </c>
    </row>
    <row r="296" spans="15:16" x14ac:dyDescent="0.2">
      <c r="O296" s="38" t="s">
        <v>643</v>
      </c>
      <c r="P296" s="47" t="s">
        <v>136</v>
      </c>
    </row>
    <row r="297" spans="15:16" x14ac:dyDescent="0.2">
      <c r="O297" s="37" t="s">
        <v>644</v>
      </c>
      <c r="P297" s="46" t="s">
        <v>136</v>
      </c>
    </row>
    <row r="298" spans="15:16" x14ac:dyDescent="0.2">
      <c r="O298" s="38" t="s">
        <v>645</v>
      </c>
      <c r="P298" s="47" t="s">
        <v>136</v>
      </c>
    </row>
    <row r="299" spans="15:16" x14ac:dyDescent="0.2">
      <c r="O299" s="37" t="s">
        <v>646</v>
      </c>
      <c r="P299" s="46" t="s">
        <v>136</v>
      </c>
    </row>
    <row r="300" spans="15:16" x14ac:dyDescent="0.2">
      <c r="O300" s="38" t="s">
        <v>647</v>
      </c>
      <c r="P300" s="47" t="s">
        <v>136</v>
      </c>
    </row>
    <row r="301" spans="15:16" x14ac:dyDescent="0.2">
      <c r="O301" s="37" t="s">
        <v>648</v>
      </c>
      <c r="P301" s="46" t="s">
        <v>136</v>
      </c>
    </row>
    <row r="302" spans="15:16" x14ac:dyDescent="0.2">
      <c r="O302" s="38" t="s">
        <v>649</v>
      </c>
      <c r="P302" s="47" t="s">
        <v>136</v>
      </c>
    </row>
    <row r="303" spans="15:16" x14ac:dyDescent="0.2">
      <c r="O303" s="37" t="s">
        <v>441</v>
      </c>
      <c r="P303" s="46" t="s">
        <v>136</v>
      </c>
    </row>
    <row r="304" spans="15:16" x14ac:dyDescent="0.2">
      <c r="O304" s="38" t="s">
        <v>650</v>
      </c>
      <c r="P304" s="47" t="s">
        <v>136</v>
      </c>
    </row>
    <row r="305" spans="15:16" x14ac:dyDescent="0.2">
      <c r="O305" s="37" t="s">
        <v>483</v>
      </c>
      <c r="P305" s="46" t="s">
        <v>136</v>
      </c>
    </row>
    <row r="306" spans="15:16" x14ac:dyDescent="0.2">
      <c r="O306" s="38" t="s">
        <v>651</v>
      </c>
      <c r="P306" s="47" t="s">
        <v>93</v>
      </c>
    </row>
    <row r="307" spans="15:16" x14ac:dyDescent="0.2">
      <c r="O307" s="37" t="s">
        <v>652</v>
      </c>
      <c r="P307" s="46" t="s">
        <v>93</v>
      </c>
    </row>
    <row r="308" spans="15:16" x14ac:dyDescent="0.2">
      <c r="O308" s="38" t="s">
        <v>653</v>
      </c>
      <c r="P308" s="47" t="s">
        <v>93</v>
      </c>
    </row>
    <row r="309" spans="15:16" x14ac:dyDescent="0.2">
      <c r="O309" s="37" t="s">
        <v>654</v>
      </c>
      <c r="P309" s="46" t="s">
        <v>93</v>
      </c>
    </row>
    <row r="310" spans="15:16" x14ac:dyDescent="0.2">
      <c r="O310" s="38" t="s">
        <v>655</v>
      </c>
      <c r="P310" s="47" t="s">
        <v>93</v>
      </c>
    </row>
    <row r="311" spans="15:16" x14ac:dyDescent="0.2">
      <c r="O311" s="37" t="s">
        <v>656</v>
      </c>
      <c r="P311" s="46" t="s">
        <v>93</v>
      </c>
    </row>
    <row r="312" spans="15:16" x14ac:dyDescent="0.2">
      <c r="O312" s="38" t="s">
        <v>657</v>
      </c>
      <c r="P312" s="47" t="s">
        <v>93</v>
      </c>
    </row>
    <row r="313" spans="15:16" x14ac:dyDescent="0.2">
      <c r="O313" s="37" t="s">
        <v>658</v>
      </c>
      <c r="P313" s="46" t="s">
        <v>93</v>
      </c>
    </row>
    <row r="314" spans="15:16" x14ac:dyDescent="0.2">
      <c r="O314" s="38" t="s">
        <v>659</v>
      </c>
      <c r="P314" s="47" t="s">
        <v>135</v>
      </c>
    </row>
    <row r="315" spans="15:16" x14ac:dyDescent="0.2">
      <c r="O315" s="37" t="s">
        <v>660</v>
      </c>
      <c r="P315" s="46" t="s">
        <v>135</v>
      </c>
    </row>
    <row r="316" spans="15:16" x14ac:dyDescent="0.2">
      <c r="O316" s="38" t="s">
        <v>661</v>
      </c>
      <c r="P316" s="47" t="s">
        <v>135</v>
      </c>
    </row>
    <row r="317" spans="15:16" x14ac:dyDescent="0.2">
      <c r="O317" s="37" t="s">
        <v>662</v>
      </c>
      <c r="P317" s="46" t="s">
        <v>663</v>
      </c>
    </row>
    <row r="318" spans="15:16" x14ac:dyDescent="0.2">
      <c r="O318" s="38" t="s">
        <v>664</v>
      </c>
      <c r="P318" s="47" t="s">
        <v>134</v>
      </c>
    </row>
    <row r="319" spans="15:16" x14ac:dyDescent="0.2">
      <c r="O319" s="37" t="s">
        <v>665</v>
      </c>
      <c r="P319" s="46" t="s">
        <v>134</v>
      </c>
    </row>
    <row r="320" spans="15:16" x14ac:dyDescent="0.2">
      <c r="O320" s="38" t="s">
        <v>666</v>
      </c>
      <c r="P320" s="47" t="s">
        <v>134</v>
      </c>
    </row>
    <row r="321" spans="15:16" x14ac:dyDescent="0.2">
      <c r="O321" s="37" t="s">
        <v>667</v>
      </c>
      <c r="P321" s="46" t="s">
        <v>134</v>
      </c>
    </row>
    <row r="322" spans="15:16" x14ac:dyDescent="0.2">
      <c r="O322" s="38" t="s">
        <v>668</v>
      </c>
      <c r="P322" s="47" t="s">
        <v>134</v>
      </c>
    </row>
    <row r="323" spans="15:16" x14ac:dyDescent="0.2">
      <c r="O323" s="37" t="s">
        <v>669</v>
      </c>
      <c r="P323" s="46" t="s">
        <v>134</v>
      </c>
    </row>
    <row r="324" spans="15:16" x14ac:dyDescent="0.2">
      <c r="O324" s="38" t="s">
        <v>384</v>
      </c>
      <c r="P324" s="47" t="s">
        <v>134</v>
      </c>
    </row>
    <row r="325" spans="15:16" x14ac:dyDescent="0.2">
      <c r="O325" s="37" t="s">
        <v>670</v>
      </c>
      <c r="P325" s="46" t="s">
        <v>134</v>
      </c>
    </row>
    <row r="326" spans="15:16" x14ac:dyDescent="0.2">
      <c r="O326" s="38" t="s">
        <v>671</v>
      </c>
      <c r="P326" s="47" t="s">
        <v>134</v>
      </c>
    </row>
    <row r="327" spans="15:16" x14ac:dyDescent="0.2">
      <c r="O327" s="37" t="s">
        <v>390</v>
      </c>
      <c r="P327" s="46" t="s">
        <v>134</v>
      </c>
    </row>
    <row r="328" spans="15:16" x14ac:dyDescent="0.2">
      <c r="O328" s="38" t="s">
        <v>672</v>
      </c>
      <c r="P328" s="47" t="s">
        <v>134</v>
      </c>
    </row>
    <row r="329" spans="15:16" x14ac:dyDescent="0.2">
      <c r="O329" s="37" t="s">
        <v>494</v>
      </c>
      <c r="P329" s="46" t="s">
        <v>134</v>
      </c>
    </row>
    <row r="330" spans="15:16" x14ac:dyDescent="0.2">
      <c r="O330" s="38" t="s">
        <v>673</v>
      </c>
      <c r="P330" s="47" t="s">
        <v>134</v>
      </c>
    </row>
    <row r="331" spans="15:16" x14ac:dyDescent="0.2">
      <c r="O331" s="37" t="s">
        <v>674</v>
      </c>
      <c r="P331" s="46" t="s">
        <v>134</v>
      </c>
    </row>
    <row r="332" spans="15:16" x14ac:dyDescent="0.2">
      <c r="O332" s="38" t="s">
        <v>675</v>
      </c>
      <c r="P332" s="47" t="s">
        <v>134</v>
      </c>
    </row>
    <row r="333" spans="15:16" x14ac:dyDescent="0.2">
      <c r="O333" s="37" t="s">
        <v>676</v>
      </c>
      <c r="P333" s="46" t="s">
        <v>134</v>
      </c>
    </row>
    <row r="334" spans="15:16" x14ac:dyDescent="0.2">
      <c r="O334" s="38" t="s">
        <v>403</v>
      </c>
      <c r="P334" s="47" t="s">
        <v>134</v>
      </c>
    </row>
    <row r="335" spans="15:16" x14ac:dyDescent="0.2">
      <c r="O335" s="37" t="s">
        <v>677</v>
      </c>
      <c r="P335" s="46" t="s">
        <v>134</v>
      </c>
    </row>
    <row r="336" spans="15:16" x14ac:dyDescent="0.2">
      <c r="O336" s="38" t="s">
        <v>406</v>
      </c>
      <c r="P336" s="47" t="s">
        <v>134</v>
      </c>
    </row>
    <row r="337" spans="15:16" x14ac:dyDescent="0.2">
      <c r="O337" s="37" t="s">
        <v>678</v>
      </c>
      <c r="P337" s="46" t="s">
        <v>134</v>
      </c>
    </row>
    <row r="338" spans="15:16" x14ac:dyDescent="0.2">
      <c r="O338" s="38" t="s">
        <v>679</v>
      </c>
      <c r="P338" s="47" t="s">
        <v>134</v>
      </c>
    </row>
    <row r="339" spans="15:16" x14ac:dyDescent="0.2">
      <c r="O339" s="37" t="s">
        <v>680</v>
      </c>
      <c r="P339" s="46" t="s">
        <v>134</v>
      </c>
    </row>
    <row r="340" spans="15:16" x14ac:dyDescent="0.2">
      <c r="O340" s="38" t="s">
        <v>681</v>
      </c>
      <c r="P340" s="47" t="s">
        <v>134</v>
      </c>
    </row>
    <row r="341" spans="15:16" x14ac:dyDescent="0.2">
      <c r="O341" s="37" t="s">
        <v>682</v>
      </c>
      <c r="P341" s="46" t="s">
        <v>134</v>
      </c>
    </row>
    <row r="342" spans="15:16" x14ac:dyDescent="0.2">
      <c r="O342" s="38" t="s">
        <v>683</v>
      </c>
      <c r="P342" s="47" t="s">
        <v>134</v>
      </c>
    </row>
    <row r="343" spans="15:16" x14ac:dyDescent="0.2">
      <c r="O343" s="37" t="s">
        <v>684</v>
      </c>
      <c r="P343" s="46" t="s">
        <v>134</v>
      </c>
    </row>
    <row r="344" spans="15:16" x14ac:dyDescent="0.2">
      <c r="O344" s="38" t="s">
        <v>685</v>
      </c>
      <c r="P344" s="47" t="s">
        <v>134</v>
      </c>
    </row>
    <row r="345" spans="15:16" x14ac:dyDescent="0.2">
      <c r="O345" s="37" t="s">
        <v>686</v>
      </c>
      <c r="P345" s="46" t="s">
        <v>134</v>
      </c>
    </row>
    <row r="346" spans="15:16" x14ac:dyDescent="0.2">
      <c r="O346" s="38" t="s">
        <v>687</v>
      </c>
      <c r="P346" s="47" t="s">
        <v>134</v>
      </c>
    </row>
    <row r="347" spans="15:16" x14ac:dyDescent="0.2">
      <c r="O347" s="37" t="s">
        <v>688</v>
      </c>
      <c r="P347" s="46" t="s">
        <v>134</v>
      </c>
    </row>
    <row r="348" spans="15:16" x14ac:dyDescent="0.2">
      <c r="O348" s="38" t="s">
        <v>689</v>
      </c>
      <c r="P348" s="47" t="s">
        <v>134</v>
      </c>
    </row>
    <row r="349" spans="15:16" x14ac:dyDescent="0.2">
      <c r="O349" s="37" t="s">
        <v>412</v>
      </c>
      <c r="P349" s="46" t="s">
        <v>134</v>
      </c>
    </row>
    <row r="350" spans="15:16" x14ac:dyDescent="0.2">
      <c r="O350" s="38" t="s">
        <v>413</v>
      </c>
      <c r="P350" s="47" t="s">
        <v>134</v>
      </c>
    </row>
    <row r="351" spans="15:16" x14ac:dyDescent="0.2">
      <c r="O351" s="37" t="s">
        <v>512</v>
      </c>
      <c r="P351" s="46" t="s">
        <v>134</v>
      </c>
    </row>
    <row r="352" spans="15:16" x14ac:dyDescent="0.2">
      <c r="O352" s="38" t="s">
        <v>557</v>
      </c>
      <c r="P352" s="47" t="s">
        <v>134</v>
      </c>
    </row>
    <row r="353" spans="15:16" x14ac:dyDescent="0.2">
      <c r="O353" s="37" t="s">
        <v>417</v>
      </c>
      <c r="P353" s="46" t="s">
        <v>134</v>
      </c>
    </row>
    <row r="354" spans="15:16" x14ac:dyDescent="0.2">
      <c r="O354" s="38" t="s">
        <v>690</v>
      </c>
      <c r="P354" s="47" t="s">
        <v>134</v>
      </c>
    </row>
    <row r="355" spans="15:16" x14ac:dyDescent="0.2">
      <c r="O355" s="37" t="s">
        <v>691</v>
      </c>
      <c r="P355" s="46" t="s">
        <v>134</v>
      </c>
    </row>
    <row r="356" spans="15:16" x14ac:dyDescent="0.2">
      <c r="O356" s="38" t="s">
        <v>692</v>
      </c>
      <c r="P356" s="47" t="s">
        <v>134</v>
      </c>
    </row>
    <row r="357" spans="15:16" x14ac:dyDescent="0.2">
      <c r="O357" s="37" t="s">
        <v>421</v>
      </c>
      <c r="P357" s="46" t="s">
        <v>134</v>
      </c>
    </row>
    <row r="358" spans="15:16" x14ac:dyDescent="0.2">
      <c r="O358" s="38" t="s">
        <v>693</v>
      </c>
      <c r="P358" s="47" t="s">
        <v>134</v>
      </c>
    </row>
    <row r="359" spans="15:16" x14ac:dyDescent="0.2">
      <c r="O359" s="37" t="s">
        <v>423</v>
      </c>
      <c r="P359" s="46" t="s">
        <v>134</v>
      </c>
    </row>
    <row r="360" spans="15:16" x14ac:dyDescent="0.2">
      <c r="O360" s="38" t="s">
        <v>694</v>
      </c>
      <c r="P360" s="47" t="s">
        <v>134</v>
      </c>
    </row>
    <row r="361" spans="15:16" x14ac:dyDescent="0.2">
      <c r="O361" s="37" t="s">
        <v>426</v>
      </c>
      <c r="P361" s="46" t="s">
        <v>134</v>
      </c>
    </row>
    <row r="362" spans="15:16" x14ac:dyDescent="0.2">
      <c r="O362" s="38" t="s">
        <v>695</v>
      </c>
      <c r="P362" s="47" t="s">
        <v>134</v>
      </c>
    </row>
    <row r="363" spans="15:16" x14ac:dyDescent="0.2">
      <c r="O363" s="37" t="s">
        <v>696</v>
      </c>
      <c r="P363" s="46" t="s">
        <v>134</v>
      </c>
    </row>
    <row r="364" spans="15:16" x14ac:dyDescent="0.2">
      <c r="O364" s="38" t="s">
        <v>697</v>
      </c>
      <c r="P364" s="47" t="s">
        <v>134</v>
      </c>
    </row>
    <row r="365" spans="15:16" x14ac:dyDescent="0.2">
      <c r="O365" s="37" t="s">
        <v>569</v>
      </c>
      <c r="P365" s="46" t="s">
        <v>134</v>
      </c>
    </row>
    <row r="366" spans="15:16" x14ac:dyDescent="0.2">
      <c r="O366" s="38" t="s">
        <v>698</v>
      </c>
      <c r="P366" s="47" t="s">
        <v>134</v>
      </c>
    </row>
    <row r="367" spans="15:16" x14ac:dyDescent="0.2">
      <c r="O367" s="37" t="s">
        <v>699</v>
      </c>
      <c r="P367" s="46" t="s">
        <v>134</v>
      </c>
    </row>
    <row r="368" spans="15:16" x14ac:dyDescent="0.2">
      <c r="O368" s="38" t="s">
        <v>700</v>
      </c>
      <c r="P368" s="47" t="s">
        <v>134</v>
      </c>
    </row>
    <row r="369" spans="15:16" x14ac:dyDescent="0.2">
      <c r="O369" s="37" t="s">
        <v>701</v>
      </c>
      <c r="P369" s="46" t="s">
        <v>134</v>
      </c>
    </row>
    <row r="370" spans="15:16" x14ac:dyDescent="0.2">
      <c r="O370" s="38" t="s">
        <v>524</v>
      </c>
      <c r="P370" s="47" t="s">
        <v>134</v>
      </c>
    </row>
    <row r="371" spans="15:16" x14ac:dyDescent="0.2">
      <c r="O371" s="37" t="s">
        <v>702</v>
      </c>
      <c r="P371" s="46" t="s">
        <v>134</v>
      </c>
    </row>
    <row r="372" spans="15:16" x14ac:dyDescent="0.2">
      <c r="O372" s="38" t="s">
        <v>703</v>
      </c>
      <c r="P372" s="47" t="s">
        <v>134</v>
      </c>
    </row>
    <row r="373" spans="15:16" x14ac:dyDescent="0.2">
      <c r="O373" s="37" t="s">
        <v>704</v>
      </c>
      <c r="P373" s="46" t="s">
        <v>134</v>
      </c>
    </row>
    <row r="374" spans="15:16" x14ac:dyDescent="0.2">
      <c r="O374" s="38" t="s">
        <v>705</v>
      </c>
      <c r="P374" s="47" t="s">
        <v>134</v>
      </c>
    </row>
    <row r="375" spans="15:16" x14ac:dyDescent="0.2">
      <c r="O375" s="37" t="s">
        <v>706</v>
      </c>
      <c r="P375" s="46" t="s">
        <v>134</v>
      </c>
    </row>
    <row r="376" spans="15:16" x14ac:dyDescent="0.2">
      <c r="O376" s="38" t="s">
        <v>707</v>
      </c>
      <c r="P376" s="47" t="s">
        <v>134</v>
      </c>
    </row>
    <row r="377" spans="15:16" x14ac:dyDescent="0.2">
      <c r="O377" s="37" t="s">
        <v>436</v>
      </c>
      <c r="P377" s="46" t="s">
        <v>134</v>
      </c>
    </row>
    <row r="378" spans="15:16" x14ac:dyDescent="0.2">
      <c r="O378" s="38" t="s">
        <v>708</v>
      </c>
      <c r="P378" s="47" t="s">
        <v>134</v>
      </c>
    </row>
    <row r="379" spans="15:16" x14ac:dyDescent="0.2">
      <c r="O379" s="37" t="s">
        <v>709</v>
      </c>
      <c r="P379" s="46" t="s">
        <v>134</v>
      </c>
    </row>
    <row r="380" spans="15:16" x14ac:dyDescent="0.2">
      <c r="O380" s="38" t="s">
        <v>536</v>
      </c>
      <c r="P380" s="47" t="s">
        <v>134</v>
      </c>
    </row>
    <row r="381" spans="15:16" x14ac:dyDescent="0.2">
      <c r="O381" s="37" t="s">
        <v>710</v>
      </c>
      <c r="P381" s="46" t="s">
        <v>134</v>
      </c>
    </row>
    <row r="382" spans="15:16" x14ac:dyDescent="0.2">
      <c r="O382" s="38" t="s">
        <v>711</v>
      </c>
      <c r="P382" s="47" t="s">
        <v>134</v>
      </c>
    </row>
    <row r="383" spans="15:16" x14ac:dyDescent="0.2">
      <c r="O383" s="37" t="s">
        <v>712</v>
      </c>
      <c r="P383" s="46" t="s">
        <v>134</v>
      </c>
    </row>
    <row r="384" spans="15:16" x14ac:dyDescent="0.2">
      <c r="O384" s="38" t="s">
        <v>441</v>
      </c>
      <c r="P384" s="47" t="s">
        <v>134</v>
      </c>
    </row>
    <row r="385" spans="15:16" x14ac:dyDescent="0.2">
      <c r="O385" s="37" t="s">
        <v>713</v>
      </c>
      <c r="P385" s="46" t="s">
        <v>133</v>
      </c>
    </row>
    <row r="386" spans="15:16" x14ac:dyDescent="0.2">
      <c r="O386" s="38" t="s">
        <v>714</v>
      </c>
      <c r="P386" s="47" t="s">
        <v>133</v>
      </c>
    </row>
    <row r="387" spans="15:16" x14ac:dyDescent="0.2">
      <c r="O387" s="37" t="s">
        <v>715</v>
      </c>
      <c r="P387" s="46" t="s">
        <v>133</v>
      </c>
    </row>
    <row r="388" spans="15:16" x14ac:dyDescent="0.2">
      <c r="O388" s="38" t="s">
        <v>665</v>
      </c>
      <c r="P388" s="47" t="s">
        <v>133</v>
      </c>
    </row>
    <row r="389" spans="15:16" x14ac:dyDescent="0.2">
      <c r="O389" s="37" t="s">
        <v>378</v>
      </c>
      <c r="P389" s="46" t="s">
        <v>133</v>
      </c>
    </row>
    <row r="390" spans="15:16" x14ac:dyDescent="0.2">
      <c r="O390" s="38" t="s">
        <v>716</v>
      </c>
      <c r="P390" s="47" t="s">
        <v>133</v>
      </c>
    </row>
    <row r="391" spans="15:16" x14ac:dyDescent="0.2">
      <c r="O391" s="37" t="s">
        <v>717</v>
      </c>
      <c r="P391" s="46" t="s">
        <v>133</v>
      </c>
    </row>
    <row r="392" spans="15:16" x14ac:dyDescent="0.2">
      <c r="O392" s="38" t="s">
        <v>718</v>
      </c>
      <c r="P392" s="47" t="s">
        <v>133</v>
      </c>
    </row>
    <row r="393" spans="15:16" x14ac:dyDescent="0.2">
      <c r="O393" s="37" t="s">
        <v>719</v>
      </c>
      <c r="P393" s="46" t="s">
        <v>133</v>
      </c>
    </row>
    <row r="394" spans="15:16" x14ac:dyDescent="0.2">
      <c r="O394" s="38" t="s">
        <v>720</v>
      </c>
      <c r="P394" s="47" t="s">
        <v>133</v>
      </c>
    </row>
    <row r="395" spans="15:16" x14ac:dyDescent="0.2">
      <c r="O395" s="37" t="s">
        <v>380</v>
      </c>
      <c r="P395" s="46" t="s">
        <v>133</v>
      </c>
    </row>
    <row r="396" spans="15:16" x14ac:dyDescent="0.2">
      <c r="O396" s="38" t="s">
        <v>721</v>
      </c>
      <c r="P396" s="47" t="s">
        <v>133</v>
      </c>
    </row>
    <row r="397" spans="15:16" x14ac:dyDescent="0.2">
      <c r="O397" s="37" t="s">
        <v>722</v>
      </c>
      <c r="P397" s="46" t="s">
        <v>133</v>
      </c>
    </row>
    <row r="398" spans="15:16" x14ac:dyDescent="0.2">
      <c r="O398" s="38" t="s">
        <v>723</v>
      </c>
      <c r="P398" s="47" t="s">
        <v>133</v>
      </c>
    </row>
    <row r="399" spans="15:16" x14ac:dyDescent="0.2">
      <c r="O399" s="37" t="s">
        <v>724</v>
      </c>
      <c r="P399" s="46" t="s">
        <v>133</v>
      </c>
    </row>
    <row r="400" spans="15:16" x14ac:dyDescent="0.2">
      <c r="O400" s="38" t="s">
        <v>725</v>
      </c>
      <c r="P400" s="47" t="s">
        <v>133</v>
      </c>
    </row>
    <row r="401" spans="15:16" x14ac:dyDescent="0.2">
      <c r="O401" s="37" t="s">
        <v>726</v>
      </c>
      <c r="P401" s="46" t="s">
        <v>133</v>
      </c>
    </row>
    <row r="402" spans="15:16" x14ac:dyDescent="0.2">
      <c r="O402" s="38" t="s">
        <v>727</v>
      </c>
      <c r="P402" s="47" t="s">
        <v>133</v>
      </c>
    </row>
    <row r="403" spans="15:16" x14ac:dyDescent="0.2">
      <c r="O403" s="37" t="s">
        <v>384</v>
      </c>
      <c r="P403" s="46" t="s">
        <v>133</v>
      </c>
    </row>
    <row r="404" spans="15:16" x14ac:dyDescent="0.2">
      <c r="O404" s="38" t="s">
        <v>728</v>
      </c>
      <c r="P404" s="47" t="s">
        <v>133</v>
      </c>
    </row>
    <row r="405" spans="15:16" x14ac:dyDescent="0.2">
      <c r="O405" s="37" t="s">
        <v>729</v>
      </c>
      <c r="P405" s="46" t="s">
        <v>133</v>
      </c>
    </row>
    <row r="406" spans="15:16" x14ac:dyDescent="0.2">
      <c r="O406" s="38" t="s">
        <v>490</v>
      </c>
      <c r="P406" s="47" t="s">
        <v>133</v>
      </c>
    </row>
    <row r="407" spans="15:16" x14ac:dyDescent="0.2">
      <c r="O407" s="37" t="s">
        <v>730</v>
      </c>
      <c r="P407" s="46" t="s">
        <v>133</v>
      </c>
    </row>
    <row r="408" spans="15:16" x14ac:dyDescent="0.2">
      <c r="O408" s="38" t="s">
        <v>731</v>
      </c>
      <c r="P408" s="47" t="s">
        <v>133</v>
      </c>
    </row>
    <row r="409" spans="15:16" x14ac:dyDescent="0.2">
      <c r="O409" s="37" t="s">
        <v>732</v>
      </c>
      <c r="P409" s="46" t="s">
        <v>133</v>
      </c>
    </row>
    <row r="410" spans="15:16" x14ac:dyDescent="0.2">
      <c r="O410" s="38" t="s">
        <v>733</v>
      </c>
      <c r="P410" s="47" t="s">
        <v>133</v>
      </c>
    </row>
    <row r="411" spans="15:16" x14ac:dyDescent="0.2">
      <c r="O411" s="37" t="s">
        <v>734</v>
      </c>
      <c r="P411" s="46" t="s">
        <v>133</v>
      </c>
    </row>
    <row r="412" spans="15:16" x14ac:dyDescent="0.2">
      <c r="O412" s="38" t="s">
        <v>386</v>
      </c>
      <c r="P412" s="47" t="s">
        <v>133</v>
      </c>
    </row>
    <row r="413" spans="15:16" x14ac:dyDescent="0.2">
      <c r="O413" s="37" t="s">
        <v>389</v>
      </c>
      <c r="P413" s="46" t="s">
        <v>133</v>
      </c>
    </row>
    <row r="414" spans="15:16" x14ac:dyDescent="0.2">
      <c r="O414" s="38" t="s">
        <v>390</v>
      </c>
      <c r="P414" s="47" t="s">
        <v>133</v>
      </c>
    </row>
    <row r="415" spans="15:16" x14ac:dyDescent="0.2">
      <c r="O415" s="37" t="s">
        <v>735</v>
      </c>
      <c r="P415" s="46" t="s">
        <v>133</v>
      </c>
    </row>
    <row r="416" spans="15:16" x14ac:dyDescent="0.2">
      <c r="O416" s="38" t="s">
        <v>736</v>
      </c>
      <c r="P416" s="47" t="s">
        <v>133</v>
      </c>
    </row>
    <row r="417" spans="15:16" x14ac:dyDescent="0.2">
      <c r="O417" s="37" t="s">
        <v>737</v>
      </c>
      <c r="P417" s="46" t="s">
        <v>133</v>
      </c>
    </row>
    <row r="418" spans="15:16" x14ac:dyDescent="0.2">
      <c r="O418" s="38" t="s">
        <v>392</v>
      </c>
      <c r="P418" s="47" t="s">
        <v>133</v>
      </c>
    </row>
    <row r="419" spans="15:16" x14ac:dyDescent="0.2">
      <c r="O419" s="37" t="s">
        <v>738</v>
      </c>
      <c r="P419" s="46" t="s">
        <v>133</v>
      </c>
    </row>
    <row r="420" spans="15:16" x14ac:dyDescent="0.2">
      <c r="O420" s="38" t="s">
        <v>494</v>
      </c>
      <c r="P420" s="47" t="s">
        <v>133</v>
      </c>
    </row>
    <row r="421" spans="15:16" x14ac:dyDescent="0.2">
      <c r="O421" s="37" t="s">
        <v>739</v>
      </c>
      <c r="P421" s="46" t="s">
        <v>133</v>
      </c>
    </row>
    <row r="422" spans="15:16" x14ac:dyDescent="0.2">
      <c r="O422" s="38" t="s">
        <v>740</v>
      </c>
      <c r="P422" s="47" t="s">
        <v>133</v>
      </c>
    </row>
    <row r="423" spans="15:16" x14ac:dyDescent="0.2">
      <c r="O423" s="37" t="s">
        <v>497</v>
      </c>
      <c r="P423" s="46" t="s">
        <v>133</v>
      </c>
    </row>
    <row r="424" spans="15:16" x14ac:dyDescent="0.2">
      <c r="O424" s="38" t="s">
        <v>741</v>
      </c>
      <c r="P424" s="47" t="s">
        <v>133</v>
      </c>
    </row>
    <row r="425" spans="15:16" x14ac:dyDescent="0.2">
      <c r="O425" s="37" t="s">
        <v>673</v>
      </c>
      <c r="P425" s="46" t="s">
        <v>133</v>
      </c>
    </row>
    <row r="426" spans="15:16" x14ac:dyDescent="0.2">
      <c r="O426" s="38" t="s">
        <v>742</v>
      </c>
      <c r="P426" s="47" t="s">
        <v>133</v>
      </c>
    </row>
    <row r="427" spans="15:16" x14ac:dyDescent="0.2">
      <c r="O427" s="37" t="s">
        <v>743</v>
      </c>
      <c r="P427" s="46" t="s">
        <v>133</v>
      </c>
    </row>
    <row r="428" spans="15:16" x14ac:dyDescent="0.2">
      <c r="O428" s="38" t="s">
        <v>744</v>
      </c>
      <c r="P428" s="47" t="s">
        <v>133</v>
      </c>
    </row>
    <row r="429" spans="15:16" x14ac:dyDescent="0.2">
      <c r="O429" s="37" t="s">
        <v>745</v>
      </c>
      <c r="P429" s="46" t="s">
        <v>133</v>
      </c>
    </row>
    <row r="430" spans="15:16" x14ac:dyDescent="0.2">
      <c r="O430" s="38" t="s">
        <v>746</v>
      </c>
      <c r="P430" s="47" t="s">
        <v>133</v>
      </c>
    </row>
    <row r="431" spans="15:16" x14ac:dyDescent="0.2">
      <c r="O431" s="37" t="s">
        <v>747</v>
      </c>
      <c r="P431" s="46" t="s">
        <v>133</v>
      </c>
    </row>
    <row r="432" spans="15:16" x14ac:dyDescent="0.2">
      <c r="O432" s="38" t="s">
        <v>614</v>
      </c>
      <c r="P432" s="47" t="s">
        <v>133</v>
      </c>
    </row>
    <row r="433" spans="15:16" x14ac:dyDescent="0.2">
      <c r="O433" s="37" t="s">
        <v>748</v>
      </c>
      <c r="P433" s="46" t="s">
        <v>133</v>
      </c>
    </row>
    <row r="434" spans="15:16" x14ac:dyDescent="0.2">
      <c r="O434" s="38" t="s">
        <v>749</v>
      </c>
      <c r="P434" s="47" t="s">
        <v>133</v>
      </c>
    </row>
    <row r="435" spans="15:16" x14ac:dyDescent="0.2">
      <c r="O435" s="37" t="s">
        <v>750</v>
      </c>
      <c r="P435" s="46" t="s">
        <v>133</v>
      </c>
    </row>
    <row r="436" spans="15:16" x14ac:dyDescent="0.2">
      <c r="O436" s="38" t="s">
        <v>616</v>
      </c>
      <c r="P436" s="47" t="s">
        <v>133</v>
      </c>
    </row>
    <row r="437" spans="15:16" x14ac:dyDescent="0.2">
      <c r="O437" s="37" t="s">
        <v>751</v>
      </c>
      <c r="P437" s="46" t="s">
        <v>133</v>
      </c>
    </row>
    <row r="438" spans="15:16" x14ac:dyDescent="0.2">
      <c r="O438" s="38" t="s">
        <v>752</v>
      </c>
      <c r="P438" s="47" t="s">
        <v>133</v>
      </c>
    </row>
    <row r="439" spans="15:16" x14ac:dyDescent="0.2">
      <c r="O439" s="37" t="s">
        <v>753</v>
      </c>
      <c r="P439" s="46" t="s">
        <v>133</v>
      </c>
    </row>
    <row r="440" spans="15:16" x14ac:dyDescent="0.2">
      <c r="O440" s="38" t="s">
        <v>405</v>
      </c>
      <c r="P440" s="47" t="s">
        <v>133</v>
      </c>
    </row>
    <row r="441" spans="15:16" x14ac:dyDescent="0.2">
      <c r="O441" s="37" t="s">
        <v>754</v>
      </c>
      <c r="P441" s="46" t="s">
        <v>133</v>
      </c>
    </row>
    <row r="442" spans="15:16" x14ac:dyDescent="0.2">
      <c r="O442" s="38" t="s">
        <v>755</v>
      </c>
      <c r="P442" s="47" t="s">
        <v>133</v>
      </c>
    </row>
    <row r="443" spans="15:16" x14ac:dyDescent="0.2">
      <c r="O443" s="37" t="s">
        <v>406</v>
      </c>
      <c r="P443" s="46" t="s">
        <v>133</v>
      </c>
    </row>
    <row r="444" spans="15:16" x14ac:dyDescent="0.2">
      <c r="O444" s="38" t="s">
        <v>503</v>
      </c>
      <c r="P444" s="47" t="s">
        <v>133</v>
      </c>
    </row>
    <row r="445" spans="15:16" x14ac:dyDescent="0.2">
      <c r="O445" s="37" t="s">
        <v>756</v>
      </c>
      <c r="P445" s="46" t="s">
        <v>133</v>
      </c>
    </row>
    <row r="446" spans="15:16" x14ac:dyDescent="0.2">
      <c r="O446" s="38" t="s">
        <v>757</v>
      </c>
      <c r="P446" s="47" t="s">
        <v>133</v>
      </c>
    </row>
    <row r="447" spans="15:16" x14ac:dyDescent="0.2">
      <c r="O447" s="37" t="s">
        <v>758</v>
      </c>
      <c r="P447" s="46" t="s">
        <v>133</v>
      </c>
    </row>
    <row r="448" spans="15:16" x14ac:dyDescent="0.2">
      <c r="O448" s="38" t="s">
        <v>759</v>
      </c>
      <c r="P448" s="47" t="s">
        <v>133</v>
      </c>
    </row>
    <row r="449" spans="15:16" x14ac:dyDescent="0.2">
      <c r="O449" s="37" t="s">
        <v>760</v>
      </c>
      <c r="P449" s="46" t="s">
        <v>133</v>
      </c>
    </row>
    <row r="450" spans="15:16" x14ac:dyDescent="0.2">
      <c r="O450" s="38" t="s">
        <v>408</v>
      </c>
      <c r="P450" s="47" t="s">
        <v>133</v>
      </c>
    </row>
    <row r="451" spans="15:16" x14ac:dyDescent="0.2">
      <c r="O451" s="37" t="s">
        <v>761</v>
      </c>
      <c r="P451" s="46" t="s">
        <v>133</v>
      </c>
    </row>
    <row r="452" spans="15:16" x14ac:dyDescent="0.2">
      <c r="O452" s="38" t="s">
        <v>762</v>
      </c>
      <c r="P452" s="47" t="s">
        <v>133</v>
      </c>
    </row>
    <row r="453" spans="15:16" x14ac:dyDescent="0.2">
      <c r="O453" s="37" t="s">
        <v>763</v>
      </c>
      <c r="P453" s="46" t="s">
        <v>133</v>
      </c>
    </row>
    <row r="454" spans="15:16" x14ac:dyDescent="0.2">
      <c r="O454" s="38" t="s">
        <v>764</v>
      </c>
      <c r="P454" s="47" t="s">
        <v>133</v>
      </c>
    </row>
    <row r="455" spans="15:16" x14ac:dyDescent="0.2">
      <c r="O455" s="37" t="s">
        <v>765</v>
      </c>
      <c r="P455" s="46" t="s">
        <v>133</v>
      </c>
    </row>
    <row r="456" spans="15:16" x14ac:dyDescent="0.2">
      <c r="O456" s="38" t="s">
        <v>766</v>
      </c>
      <c r="P456" s="47" t="s">
        <v>133</v>
      </c>
    </row>
    <row r="457" spans="15:16" x14ac:dyDescent="0.2">
      <c r="O457" s="37" t="s">
        <v>767</v>
      </c>
      <c r="P457" s="46" t="s">
        <v>133</v>
      </c>
    </row>
    <row r="458" spans="15:16" x14ac:dyDescent="0.2">
      <c r="O458" s="38" t="s">
        <v>768</v>
      </c>
      <c r="P458" s="47" t="s">
        <v>133</v>
      </c>
    </row>
    <row r="459" spans="15:16" x14ac:dyDescent="0.2">
      <c r="O459" s="37" t="s">
        <v>410</v>
      </c>
      <c r="P459" s="46" t="s">
        <v>133</v>
      </c>
    </row>
    <row r="460" spans="15:16" x14ac:dyDescent="0.2">
      <c r="O460" s="38" t="s">
        <v>411</v>
      </c>
      <c r="P460" s="47" t="s">
        <v>133</v>
      </c>
    </row>
    <row r="461" spans="15:16" x14ac:dyDescent="0.2">
      <c r="O461" s="37" t="s">
        <v>769</v>
      </c>
      <c r="P461" s="46" t="s">
        <v>133</v>
      </c>
    </row>
    <row r="462" spans="15:16" x14ac:dyDescent="0.2">
      <c r="O462" s="38" t="s">
        <v>412</v>
      </c>
      <c r="P462" s="47" t="s">
        <v>133</v>
      </c>
    </row>
    <row r="463" spans="15:16" x14ac:dyDescent="0.2">
      <c r="O463" s="37" t="s">
        <v>770</v>
      </c>
      <c r="P463" s="46" t="s">
        <v>133</v>
      </c>
    </row>
    <row r="464" spans="15:16" x14ac:dyDescent="0.2">
      <c r="O464" s="38" t="s">
        <v>771</v>
      </c>
      <c r="P464" s="47" t="s">
        <v>133</v>
      </c>
    </row>
    <row r="465" spans="15:16" x14ac:dyDescent="0.2">
      <c r="O465" s="37" t="s">
        <v>413</v>
      </c>
      <c r="P465" s="46" t="s">
        <v>133</v>
      </c>
    </row>
    <row r="466" spans="15:16" x14ac:dyDescent="0.2">
      <c r="O466" s="38" t="s">
        <v>772</v>
      </c>
      <c r="P466" s="47" t="s">
        <v>133</v>
      </c>
    </row>
    <row r="467" spans="15:16" x14ac:dyDescent="0.2">
      <c r="O467" s="37" t="s">
        <v>511</v>
      </c>
      <c r="P467" s="46" t="s">
        <v>133</v>
      </c>
    </row>
    <row r="468" spans="15:16" x14ac:dyDescent="0.2">
      <c r="O468" s="38" t="s">
        <v>773</v>
      </c>
      <c r="P468" s="47" t="s">
        <v>133</v>
      </c>
    </row>
    <row r="469" spans="15:16" x14ac:dyDescent="0.2">
      <c r="O469" s="37" t="s">
        <v>414</v>
      </c>
      <c r="P469" s="46" t="s">
        <v>133</v>
      </c>
    </row>
    <row r="470" spans="15:16" x14ac:dyDescent="0.2">
      <c r="O470" s="38" t="s">
        <v>774</v>
      </c>
      <c r="P470" s="47" t="s">
        <v>133</v>
      </c>
    </row>
    <row r="471" spans="15:16" x14ac:dyDescent="0.2">
      <c r="O471" s="37" t="s">
        <v>775</v>
      </c>
      <c r="P471" s="46" t="s">
        <v>133</v>
      </c>
    </row>
    <row r="472" spans="15:16" x14ac:dyDescent="0.2">
      <c r="O472" s="38" t="s">
        <v>417</v>
      </c>
      <c r="P472" s="47" t="s">
        <v>133</v>
      </c>
    </row>
    <row r="473" spans="15:16" x14ac:dyDescent="0.2">
      <c r="O473" s="37" t="s">
        <v>692</v>
      </c>
      <c r="P473" s="46" t="s">
        <v>133</v>
      </c>
    </row>
    <row r="474" spans="15:16" x14ac:dyDescent="0.2">
      <c r="O474" s="38" t="s">
        <v>513</v>
      </c>
      <c r="P474" s="47" t="s">
        <v>133</v>
      </c>
    </row>
    <row r="475" spans="15:16" x14ac:dyDescent="0.2">
      <c r="O475" s="37" t="s">
        <v>776</v>
      </c>
      <c r="P475" s="46" t="s">
        <v>133</v>
      </c>
    </row>
    <row r="476" spans="15:16" x14ac:dyDescent="0.2">
      <c r="O476" s="38" t="s">
        <v>419</v>
      </c>
      <c r="P476" s="47" t="s">
        <v>133</v>
      </c>
    </row>
    <row r="477" spans="15:16" x14ac:dyDescent="0.2">
      <c r="O477" s="37" t="s">
        <v>777</v>
      </c>
      <c r="P477" s="46" t="s">
        <v>133</v>
      </c>
    </row>
    <row r="478" spans="15:16" x14ac:dyDescent="0.2">
      <c r="O478" s="38" t="s">
        <v>778</v>
      </c>
      <c r="P478" s="47" t="s">
        <v>133</v>
      </c>
    </row>
    <row r="479" spans="15:16" x14ac:dyDescent="0.2">
      <c r="O479" s="37" t="s">
        <v>779</v>
      </c>
      <c r="P479" s="46" t="s">
        <v>133</v>
      </c>
    </row>
    <row r="480" spans="15:16" x14ac:dyDescent="0.2">
      <c r="O480" s="38" t="s">
        <v>420</v>
      </c>
      <c r="P480" s="47" t="s">
        <v>133</v>
      </c>
    </row>
    <row r="481" spans="15:16" x14ac:dyDescent="0.2">
      <c r="O481" s="37" t="s">
        <v>421</v>
      </c>
      <c r="P481" s="46" t="s">
        <v>133</v>
      </c>
    </row>
    <row r="482" spans="15:16" x14ac:dyDescent="0.2">
      <c r="O482" s="38" t="s">
        <v>423</v>
      </c>
      <c r="P482" s="47" t="s">
        <v>133</v>
      </c>
    </row>
    <row r="483" spans="15:16" x14ac:dyDescent="0.2">
      <c r="O483" s="37" t="s">
        <v>780</v>
      </c>
      <c r="P483" s="46" t="s">
        <v>133</v>
      </c>
    </row>
    <row r="484" spans="15:16" x14ac:dyDescent="0.2">
      <c r="O484" s="38" t="s">
        <v>517</v>
      </c>
      <c r="P484" s="47" t="s">
        <v>133</v>
      </c>
    </row>
    <row r="485" spans="15:16" x14ac:dyDescent="0.2">
      <c r="O485" s="37" t="s">
        <v>781</v>
      </c>
      <c r="P485" s="46" t="s">
        <v>133</v>
      </c>
    </row>
    <row r="486" spans="15:16" x14ac:dyDescent="0.2">
      <c r="O486" s="38" t="s">
        <v>426</v>
      </c>
      <c r="P486" s="47" t="s">
        <v>133</v>
      </c>
    </row>
    <row r="487" spans="15:16" x14ac:dyDescent="0.2">
      <c r="O487" s="37" t="s">
        <v>427</v>
      </c>
      <c r="P487" s="46" t="s">
        <v>133</v>
      </c>
    </row>
    <row r="488" spans="15:16" x14ac:dyDescent="0.2">
      <c r="O488" s="38" t="s">
        <v>428</v>
      </c>
      <c r="P488" s="47" t="s">
        <v>133</v>
      </c>
    </row>
    <row r="489" spans="15:16" x14ac:dyDescent="0.2">
      <c r="O489" s="37" t="s">
        <v>782</v>
      </c>
      <c r="P489" s="46" t="s">
        <v>133</v>
      </c>
    </row>
    <row r="490" spans="15:16" x14ac:dyDescent="0.2">
      <c r="O490" s="38" t="s">
        <v>783</v>
      </c>
      <c r="P490" s="47" t="s">
        <v>133</v>
      </c>
    </row>
    <row r="491" spans="15:16" x14ac:dyDescent="0.2">
      <c r="O491" s="37" t="s">
        <v>520</v>
      </c>
      <c r="P491" s="46" t="s">
        <v>133</v>
      </c>
    </row>
    <row r="492" spans="15:16" x14ac:dyDescent="0.2">
      <c r="O492" s="38" t="s">
        <v>784</v>
      </c>
      <c r="P492" s="47" t="s">
        <v>133</v>
      </c>
    </row>
    <row r="493" spans="15:16" x14ac:dyDescent="0.2">
      <c r="O493" s="37" t="s">
        <v>785</v>
      </c>
      <c r="P493" s="46" t="s">
        <v>133</v>
      </c>
    </row>
    <row r="494" spans="15:16" x14ac:dyDescent="0.2">
      <c r="O494" s="38" t="s">
        <v>786</v>
      </c>
      <c r="P494" s="47" t="s">
        <v>133</v>
      </c>
    </row>
    <row r="495" spans="15:16" x14ac:dyDescent="0.2">
      <c r="O495" s="37" t="s">
        <v>787</v>
      </c>
      <c r="P495" s="46" t="s">
        <v>133</v>
      </c>
    </row>
    <row r="496" spans="15:16" x14ac:dyDescent="0.2">
      <c r="O496" s="38" t="s">
        <v>430</v>
      </c>
      <c r="P496" s="47" t="s">
        <v>133</v>
      </c>
    </row>
    <row r="497" spans="15:16" x14ac:dyDescent="0.2">
      <c r="O497" s="37" t="s">
        <v>788</v>
      </c>
      <c r="P497" s="46" t="s">
        <v>133</v>
      </c>
    </row>
    <row r="498" spans="15:16" x14ac:dyDescent="0.2">
      <c r="O498" s="38" t="s">
        <v>431</v>
      </c>
      <c r="P498" s="47" t="s">
        <v>133</v>
      </c>
    </row>
    <row r="499" spans="15:16" x14ac:dyDescent="0.2">
      <c r="O499" s="37" t="s">
        <v>524</v>
      </c>
      <c r="P499" s="46" t="s">
        <v>133</v>
      </c>
    </row>
    <row r="500" spans="15:16" x14ac:dyDescent="0.2">
      <c r="O500" s="38" t="s">
        <v>527</v>
      </c>
      <c r="P500" s="47" t="s">
        <v>133</v>
      </c>
    </row>
    <row r="501" spans="15:16" x14ac:dyDescent="0.2">
      <c r="O501" s="37" t="s">
        <v>702</v>
      </c>
      <c r="P501" s="46" t="s">
        <v>133</v>
      </c>
    </row>
    <row r="502" spans="15:16" x14ac:dyDescent="0.2">
      <c r="O502" s="38" t="s">
        <v>789</v>
      </c>
      <c r="P502" s="47" t="s">
        <v>133</v>
      </c>
    </row>
    <row r="503" spans="15:16" x14ac:dyDescent="0.2">
      <c r="O503" s="37" t="s">
        <v>790</v>
      </c>
      <c r="P503" s="46" t="s">
        <v>133</v>
      </c>
    </row>
    <row r="504" spans="15:16" x14ac:dyDescent="0.2">
      <c r="O504" s="38" t="s">
        <v>432</v>
      </c>
      <c r="P504" s="47" t="s">
        <v>133</v>
      </c>
    </row>
    <row r="505" spans="15:16" x14ac:dyDescent="0.2">
      <c r="O505" s="37" t="s">
        <v>791</v>
      </c>
      <c r="P505" s="46" t="s">
        <v>133</v>
      </c>
    </row>
    <row r="506" spans="15:16" x14ac:dyDescent="0.2">
      <c r="O506" s="38" t="s">
        <v>792</v>
      </c>
      <c r="P506" s="47" t="s">
        <v>133</v>
      </c>
    </row>
    <row r="507" spans="15:16" x14ac:dyDescent="0.2">
      <c r="O507" s="37" t="s">
        <v>793</v>
      </c>
      <c r="P507" s="46" t="s">
        <v>133</v>
      </c>
    </row>
    <row r="508" spans="15:16" x14ac:dyDescent="0.2">
      <c r="O508" s="38" t="s">
        <v>794</v>
      </c>
      <c r="P508" s="47" t="s">
        <v>133</v>
      </c>
    </row>
    <row r="509" spans="15:16" x14ac:dyDescent="0.2">
      <c r="O509" s="37" t="s">
        <v>707</v>
      </c>
      <c r="P509" s="46" t="s">
        <v>133</v>
      </c>
    </row>
    <row r="510" spans="15:16" x14ac:dyDescent="0.2">
      <c r="O510" s="38" t="s">
        <v>795</v>
      </c>
      <c r="P510" s="47" t="s">
        <v>133</v>
      </c>
    </row>
    <row r="511" spans="15:16" x14ac:dyDescent="0.2">
      <c r="O511" s="37" t="s">
        <v>796</v>
      </c>
      <c r="P511" s="46" t="s">
        <v>133</v>
      </c>
    </row>
    <row r="512" spans="15:16" x14ac:dyDescent="0.2">
      <c r="O512" s="38" t="s">
        <v>797</v>
      </c>
      <c r="P512" s="47" t="s">
        <v>133</v>
      </c>
    </row>
    <row r="513" spans="15:16" x14ac:dyDescent="0.2">
      <c r="O513" s="37" t="s">
        <v>436</v>
      </c>
      <c r="P513" s="46" t="s">
        <v>133</v>
      </c>
    </row>
    <row r="514" spans="15:16" x14ac:dyDescent="0.2">
      <c r="O514" s="38" t="s">
        <v>798</v>
      </c>
      <c r="P514" s="47" t="s">
        <v>133</v>
      </c>
    </row>
    <row r="515" spans="15:16" x14ac:dyDescent="0.2">
      <c r="O515" s="37" t="s">
        <v>799</v>
      </c>
      <c r="P515" s="46" t="s">
        <v>133</v>
      </c>
    </row>
    <row r="516" spans="15:16" x14ac:dyDescent="0.2">
      <c r="O516" s="38" t="s">
        <v>800</v>
      </c>
      <c r="P516" s="47" t="s">
        <v>133</v>
      </c>
    </row>
    <row r="517" spans="15:16" x14ac:dyDescent="0.2">
      <c r="O517" s="37" t="s">
        <v>709</v>
      </c>
      <c r="P517" s="46" t="s">
        <v>133</v>
      </c>
    </row>
    <row r="518" spans="15:16" x14ac:dyDescent="0.2">
      <c r="O518" s="38" t="s">
        <v>801</v>
      </c>
      <c r="P518" s="47" t="s">
        <v>133</v>
      </c>
    </row>
    <row r="519" spans="15:16" x14ac:dyDescent="0.2">
      <c r="O519" s="37" t="s">
        <v>802</v>
      </c>
      <c r="P519" s="46" t="s">
        <v>133</v>
      </c>
    </row>
    <row r="520" spans="15:16" x14ac:dyDescent="0.2">
      <c r="O520" s="38" t="s">
        <v>803</v>
      </c>
      <c r="P520" s="47" t="s">
        <v>133</v>
      </c>
    </row>
    <row r="521" spans="15:16" x14ac:dyDescent="0.2">
      <c r="O521" s="37" t="s">
        <v>804</v>
      </c>
      <c r="P521" s="46" t="s">
        <v>133</v>
      </c>
    </row>
    <row r="522" spans="15:16" x14ac:dyDescent="0.2">
      <c r="O522" s="38" t="s">
        <v>805</v>
      </c>
      <c r="P522" s="47" t="s">
        <v>133</v>
      </c>
    </row>
    <row r="523" spans="15:16" x14ac:dyDescent="0.2">
      <c r="O523" s="37" t="s">
        <v>806</v>
      </c>
      <c r="P523" s="46" t="s">
        <v>133</v>
      </c>
    </row>
    <row r="524" spans="15:16" x14ac:dyDescent="0.2">
      <c r="O524" s="38" t="s">
        <v>807</v>
      </c>
      <c r="P524" s="47" t="s">
        <v>133</v>
      </c>
    </row>
    <row r="525" spans="15:16" x14ac:dyDescent="0.2">
      <c r="O525" s="37" t="s">
        <v>808</v>
      </c>
      <c r="P525" s="46" t="s">
        <v>133</v>
      </c>
    </row>
    <row r="526" spans="15:16" x14ac:dyDescent="0.2">
      <c r="O526" s="38" t="s">
        <v>809</v>
      </c>
      <c r="P526" s="47" t="s">
        <v>133</v>
      </c>
    </row>
    <row r="527" spans="15:16" x14ac:dyDescent="0.2">
      <c r="O527" s="37" t="s">
        <v>810</v>
      </c>
      <c r="P527" s="46" t="s">
        <v>133</v>
      </c>
    </row>
    <row r="528" spans="15:16" x14ac:dyDescent="0.2">
      <c r="O528" s="38" t="s">
        <v>536</v>
      </c>
      <c r="P528" s="47" t="s">
        <v>133</v>
      </c>
    </row>
    <row r="529" spans="15:16" x14ac:dyDescent="0.2">
      <c r="O529" s="37" t="s">
        <v>811</v>
      </c>
      <c r="P529" s="46" t="s">
        <v>133</v>
      </c>
    </row>
    <row r="530" spans="15:16" x14ac:dyDescent="0.2">
      <c r="O530" s="38" t="s">
        <v>440</v>
      </c>
      <c r="P530" s="47" t="s">
        <v>133</v>
      </c>
    </row>
    <row r="531" spans="15:16" x14ac:dyDescent="0.2">
      <c r="O531" s="37" t="s">
        <v>712</v>
      </c>
      <c r="P531" s="46" t="s">
        <v>133</v>
      </c>
    </row>
    <row r="532" spans="15:16" x14ac:dyDescent="0.2">
      <c r="O532" s="38" t="s">
        <v>812</v>
      </c>
      <c r="P532" s="47" t="s">
        <v>133</v>
      </c>
    </row>
    <row r="533" spans="15:16" x14ac:dyDescent="0.2">
      <c r="O533" s="37" t="s">
        <v>813</v>
      </c>
      <c r="P533" s="46" t="s">
        <v>133</v>
      </c>
    </row>
    <row r="534" spans="15:16" x14ac:dyDescent="0.2">
      <c r="O534" s="38" t="s">
        <v>441</v>
      </c>
      <c r="P534" s="47" t="s">
        <v>133</v>
      </c>
    </row>
    <row r="535" spans="15:16" x14ac:dyDescent="0.2">
      <c r="O535" s="37" t="s">
        <v>814</v>
      </c>
      <c r="P535" s="46" t="s">
        <v>133</v>
      </c>
    </row>
    <row r="536" spans="15:16" x14ac:dyDescent="0.2">
      <c r="O536" s="38" t="s">
        <v>815</v>
      </c>
      <c r="P536" s="47" t="s">
        <v>133</v>
      </c>
    </row>
    <row r="537" spans="15:16" x14ac:dyDescent="0.2">
      <c r="O537" s="37" t="s">
        <v>816</v>
      </c>
      <c r="P537" s="46" t="s">
        <v>133</v>
      </c>
    </row>
    <row r="538" spans="15:16" x14ac:dyDescent="0.2">
      <c r="O538" s="38" t="s">
        <v>538</v>
      </c>
      <c r="P538" s="47" t="s">
        <v>133</v>
      </c>
    </row>
    <row r="539" spans="15:16" x14ac:dyDescent="0.2">
      <c r="O539" s="37" t="s">
        <v>817</v>
      </c>
      <c r="P539" s="46" t="s">
        <v>133</v>
      </c>
    </row>
    <row r="540" spans="15:16" x14ac:dyDescent="0.2">
      <c r="O540" s="38" t="s">
        <v>442</v>
      </c>
      <c r="P540" s="47" t="s">
        <v>133</v>
      </c>
    </row>
    <row r="541" spans="15:16" x14ac:dyDescent="0.2">
      <c r="O541" s="37" t="s">
        <v>818</v>
      </c>
      <c r="P541" s="46" t="s">
        <v>133</v>
      </c>
    </row>
    <row r="542" spans="15:16" x14ac:dyDescent="0.2">
      <c r="O542" s="38" t="s">
        <v>819</v>
      </c>
      <c r="P542" s="47" t="s">
        <v>133</v>
      </c>
    </row>
    <row r="543" spans="15:16" x14ac:dyDescent="0.2">
      <c r="O543" s="37" t="s">
        <v>820</v>
      </c>
      <c r="P543" s="46" t="s">
        <v>133</v>
      </c>
    </row>
    <row r="544" spans="15:16" x14ac:dyDescent="0.2">
      <c r="O544" s="37" t="s">
        <v>2866</v>
      </c>
      <c r="P544" s="46" t="s">
        <v>2865</v>
      </c>
    </row>
    <row r="545" spans="15:16" x14ac:dyDescent="0.2">
      <c r="O545" s="38" t="s">
        <v>821</v>
      </c>
      <c r="P545" s="47" t="s">
        <v>132</v>
      </c>
    </row>
    <row r="546" spans="15:16" x14ac:dyDescent="0.2">
      <c r="O546" s="37" t="s">
        <v>822</v>
      </c>
      <c r="P546" s="46" t="s">
        <v>132</v>
      </c>
    </row>
    <row r="547" spans="15:16" x14ac:dyDescent="0.2">
      <c r="O547" s="38" t="s">
        <v>823</v>
      </c>
      <c r="P547" s="47" t="s">
        <v>132</v>
      </c>
    </row>
    <row r="548" spans="15:16" x14ac:dyDescent="0.2">
      <c r="O548" s="37" t="s">
        <v>824</v>
      </c>
      <c r="P548" s="46" t="s">
        <v>132</v>
      </c>
    </row>
    <row r="549" spans="15:16" x14ac:dyDescent="0.2">
      <c r="O549" s="38" t="s">
        <v>825</v>
      </c>
      <c r="P549" s="47" t="s">
        <v>132</v>
      </c>
    </row>
    <row r="550" spans="15:16" x14ac:dyDescent="0.2">
      <c r="O550" s="37" t="s">
        <v>826</v>
      </c>
      <c r="P550" s="46" t="s">
        <v>131</v>
      </c>
    </row>
    <row r="551" spans="15:16" x14ac:dyDescent="0.2">
      <c r="O551" s="38" t="s">
        <v>597</v>
      </c>
      <c r="P551" s="47" t="s">
        <v>131</v>
      </c>
    </row>
    <row r="552" spans="15:16" x14ac:dyDescent="0.2">
      <c r="O552" s="37" t="s">
        <v>827</v>
      </c>
      <c r="P552" s="46" t="s">
        <v>131</v>
      </c>
    </row>
    <row r="553" spans="15:16" x14ac:dyDescent="0.2">
      <c r="O553" s="38" t="s">
        <v>828</v>
      </c>
      <c r="P553" s="47" t="s">
        <v>131</v>
      </c>
    </row>
    <row r="554" spans="15:16" x14ac:dyDescent="0.2">
      <c r="O554" s="37" t="s">
        <v>829</v>
      </c>
      <c r="P554" s="46" t="s">
        <v>131</v>
      </c>
    </row>
    <row r="555" spans="15:16" x14ac:dyDescent="0.2">
      <c r="O555" s="38" t="s">
        <v>830</v>
      </c>
      <c r="P555" s="47" t="s">
        <v>131</v>
      </c>
    </row>
    <row r="556" spans="15:16" x14ac:dyDescent="0.2">
      <c r="O556" s="37" t="s">
        <v>831</v>
      </c>
      <c r="P556" s="46" t="s">
        <v>131</v>
      </c>
    </row>
    <row r="557" spans="15:16" x14ac:dyDescent="0.2">
      <c r="O557" s="38" t="s">
        <v>832</v>
      </c>
      <c r="P557" s="47" t="s">
        <v>131</v>
      </c>
    </row>
    <row r="558" spans="15:16" x14ac:dyDescent="0.2">
      <c r="O558" s="37" t="s">
        <v>833</v>
      </c>
      <c r="P558" s="46" t="s">
        <v>131</v>
      </c>
    </row>
    <row r="559" spans="15:16" x14ac:dyDescent="0.2">
      <c r="O559" s="38" t="s">
        <v>834</v>
      </c>
      <c r="P559" s="47" t="s">
        <v>131</v>
      </c>
    </row>
    <row r="560" spans="15:16" x14ac:dyDescent="0.2">
      <c r="O560" s="37" t="s">
        <v>835</v>
      </c>
      <c r="P560" s="46" t="s">
        <v>131</v>
      </c>
    </row>
    <row r="561" spans="15:16" x14ac:dyDescent="0.2">
      <c r="O561" s="38" t="s">
        <v>544</v>
      </c>
      <c r="P561" s="47" t="s">
        <v>131</v>
      </c>
    </row>
    <row r="562" spans="15:16" x14ac:dyDescent="0.2">
      <c r="O562" s="37" t="s">
        <v>836</v>
      </c>
      <c r="P562" s="46" t="s">
        <v>131</v>
      </c>
    </row>
    <row r="563" spans="15:16" x14ac:dyDescent="0.2">
      <c r="O563" s="38" t="s">
        <v>837</v>
      </c>
      <c r="P563" s="47" t="s">
        <v>131</v>
      </c>
    </row>
    <row r="564" spans="15:16" x14ac:dyDescent="0.2">
      <c r="O564" s="37" t="s">
        <v>838</v>
      </c>
      <c r="P564" s="46" t="s">
        <v>131</v>
      </c>
    </row>
    <row r="565" spans="15:16" x14ac:dyDescent="0.2">
      <c r="O565" s="38" t="s">
        <v>839</v>
      </c>
      <c r="P565" s="47" t="s">
        <v>131</v>
      </c>
    </row>
    <row r="566" spans="15:16" x14ac:dyDescent="0.2">
      <c r="O566" s="37" t="s">
        <v>492</v>
      </c>
      <c r="P566" s="46" t="s">
        <v>131</v>
      </c>
    </row>
    <row r="567" spans="15:16" x14ac:dyDescent="0.2">
      <c r="O567" s="38" t="s">
        <v>840</v>
      </c>
      <c r="P567" s="47" t="s">
        <v>131</v>
      </c>
    </row>
    <row r="568" spans="15:16" x14ac:dyDescent="0.2">
      <c r="O568" s="37" t="s">
        <v>610</v>
      </c>
      <c r="P568" s="46" t="s">
        <v>131</v>
      </c>
    </row>
    <row r="569" spans="15:16" x14ac:dyDescent="0.2">
      <c r="O569" s="38" t="s">
        <v>402</v>
      </c>
      <c r="P569" s="47" t="s">
        <v>131</v>
      </c>
    </row>
    <row r="570" spans="15:16" x14ac:dyDescent="0.2">
      <c r="O570" s="37" t="s">
        <v>406</v>
      </c>
      <c r="P570" s="46" t="s">
        <v>131</v>
      </c>
    </row>
    <row r="571" spans="15:16" x14ac:dyDescent="0.2">
      <c r="O571" s="38" t="s">
        <v>618</v>
      </c>
      <c r="P571" s="47" t="s">
        <v>131</v>
      </c>
    </row>
    <row r="572" spans="15:16" x14ac:dyDescent="0.2">
      <c r="O572" s="37" t="s">
        <v>841</v>
      </c>
      <c r="P572" s="46" t="s">
        <v>131</v>
      </c>
    </row>
    <row r="573" spans="15:16" x14ac:dyDescent="0.2">
      <c r="O573" s="38" t="s">
        <v>842</v>
      </c>
      <c r="P573" s="47" t="s">
        <v>131</v>
      </c>
    </row>
    <row r="574" spans="15:16" x14ac:dyDescent="0.2">
      <c r="O574" s="37" t="s">
        <v>843</v>
      </c>
      <c r="P574" s="46" t="s">
        <v>131</v>
      </c>
    </row>
    <row r="575" spans="15:16" x14ac:dyDescent="0.2">
      <c r="O575" s="38" t="s">
        <v>413</v>
      </c>
      <c r="P575" s="47" t="s">
        <v>131</v>
      </c>
    </row>
    <row r="576" spans="15:16" x14ac:dyDescent="0.2">
      <c r="O576" s="37" t="s">
        <v>844</v>
      </c>
      <c r="P576" s="46" t="s">
        <v>131</v>
      </c>
    </row>
    <row r="577" spans="15:16" x14ac:dyDescent="0.2">
      <c r="O577" s="38" t="s">
        <v>845</v>
      </c>
      <c r="P577" s="47" t="s">
        <v>131</v>
      </c>
    </row>
    <row r="578" spans="15:16" x14ac:dyDescent="0.2">
      <c r="O578" s="37" t="s">
        <v>846</v>
      </c>
      <c r="P578" s="46" t="s">
        <v>131</v>
      </c>
    </row>
    <row r="579" spans="15:16" x14ac:dyDescent="0.2">
      <c r="O579" s="38" t="s">
        <v>847</v>
      </c>
      <c r="P579" s="47" t="s">
        <v>131</v>
      </c>
    </row>
    <row r="580" spans="15:16" x14ac:dyDescent="0.2">
      <c r="O580" s="37" t="s">
        <v>848</v>
      </c>
      <c r="P580" s="46" t="s">
        <v>131</v>
      </c>
    </row>
    <row r="581" spans="15:16" x14ac:dyDescent="0.2">
      <c r="O581" s="38" t="s">
        <v>513</v>
      </c>
      <c r="P581" s="47" t="s">
        <v>131</v>
      </c>
    </row>
    <row r="582" spans="15:16" x14ac:dyDescent="0.2">
      <c r="O582" s="37" t="s">
        <v>421</v>
      </c>
      <c r="P582" s="46" t="s">
        <v>131</v>
      </c>
    </row>
    <row r="583" spans="15:16" x14ac:dyDescent="0.2">
      <c r="O583" s="38" t="s">
        <v>849</v>
      </c>
      <c r="P583" s="47" t="s">
        <v>131</v>
      </c>
    </row>
    <row r="584" spans="15:16" x14ac:dyDescent="0.2">
      <c r="O584" s="37" t="s">
        <v>850</v>
      </c>
      <c r="P584" s="46" t="s">
        <v>131</v>
      </c>
    </row>
    <row r="585" spans="15:16" x14ac:dyDescent="0.2">
      <c r="O585" s="38" t="s">
        <v>851</v>
      </c>
      <c r="P585" s="47" t="s">
        <v>131</v>
      </c>
    </row>
    <row r="586" spans="15:16" x14ac:dyDescent="0.2">
      <c r="O586" s="37" t="s">
        <v>852</v>
      </c>
      <c r="P586" s="46" t="s">
        <v>131</v>
      </c>
    </row>
    <row r="587" spans="15:16" x14ac:dyDescent="0.2">
      <c r="O587" s="38" t="s">
        <v>853</v>
      </c>
      <c r="P587" s="47" t="s">
        <v>131</v>
      </c>
    </row>
    <row r="588" spans="15:16" x14ac:dyDescent="0.2">
      <c r="O588" s="37" t="s">
        <v>854</v>
      </c>
      <c r="P588" s="46" t="s">
        <v>131</v>
      </c>
    </row>
    <row r="589" spans="15:16" x14ac:dyDescent="0.2">
      <c r="O589" s="38" t="s">
        <v>855</v>
      </c>
      <c r="P589" s="47" t="s">
        <v>131</v>
      </c>
    </row>
    <row r="590" spans="15:16" x14ac:dyDescent="0.2">
      <c r="O590" s="37" t="s">
        <v>856</v>
      </c>
      <c r="P590" s="46" t="s">
        <v>131</v>
      </c>
    </row>
    <row r="591" spans="15:16" x14ac:dyDescent="0.2">
      <c r="O591" s="38" t="s">
        <v>857</v>
      </c>
      <c r="P591" s="47" t="s">
        <v>131</v>
      </c>
    </row>
    <row r="592" spans="15:16" x14ac:dyDescent="0.2">
      <c r="O592" s="37" t="s">
        <v>858</v>
      </c>
      <c r="P592" s="46" t="s">
        <v>131</v>
      </c>
    </row>
    <row r="593" spans="15:16" x14ac:dyDescent="0.2">
      <c r="O593" s="38" t="s">
        <v>441</v>
      </c>
      <c r="P593" s="47" t="s">
        <v>131</v>
      </c>
    </row>
    <row r="594" spans="15:16" x14ac:dyDescent="0.2">
      <c r="O594" s="37" t="s">
        <v>597</v>
      </c>
      <c r="P594" s="46" t="s">
        <v>130</v>
      </c>
    </row>
    <row r="595" spans="15:16" x14ac:dyDescent="0.2">
      <c r="O595" s="38" t="s">
        <v>859</v>
      </c>
      <c r="P595" s="47" t="s">
        <v>130</v>
      </c>
    </row>
    <row r="596" spans="15:16" x14ac:dyDescent="0.2">
      <c r="O596" s="37" t="s">
        <v>860</v>
      </c>
      <c r="P596" s="46" t="s">
        <v>130</v>
      </c>
    </row>
    <row r="597" spans="15:16" x14ac:dyDescent="0.2">
      <c r="O597" s="38" t="s">
        <v>488</v>
      </c>
      <c r="P597" s="47" t="s">
        <v>130</v>
      </c>
    </row>
    <row r="598" spans="15:16" x14ac:dyDescent="0.2">
      <c r="O598" s="37" t="s">
        <v>861</v>
      </c>
      <c r="P598" s="46" t="s">
        <v>130</v>
      </c>
    </row>
    <row r="599" spans="15:16" x14ac:dyDescent="0.2">
      <c r="O599" s="38" t="s">
        <v>862</v>
      </c>
      <c r="P599" s="47" t="s">
        <v>130</v>
      </c>
    </row>
    <row r="600" spans="15:16" x14ac:dyDescent="0.2">
      <c r="O600" s="37" t="s">
        <v>384</v>
      </c>
      <c r="P600" s="46" t="s">
        <v>130</v>
      </c>
    </row>
    <row r="601" spans="15:16" x14ac:dyDescent="0.2">
      <c r="O601" s="38" t="s">
        <v>490</v>
      </c>
      <c r="P601" s="47" t="s">
        <v>130</v>
      </c>
    </row>
    <row r="602" spans="15:16" x14ac:dyDescent="0.2">
      <c r="O602" s="37" t="s">
        <v>863</v>
      </c>
      <c r="P602" s="46" t="s">
        <v>130</v>
      </c>
    </row>
    <row r="603" spans="15:16" x14ac:dyDescent="0.2">
      <c r="O603" s="38" t="s">
        <v>864</v>
      </c>
      <c r="P603" s="47" t="s">
        <v>130</v>
      </c>
    </row>
    <row r="604" spans="15:16" x14ac:dyDescent="0.2">
      <c r="O604" s="37" t="s">
        <v>865</v>
      </c>
      <c r="P604" s="46" t="s">
        <v>130</v>
      </c>
    </row>
    <row r="605" spans="15:16" x14ac:dyDescent="0.2">
      <c r="O605" s="38" t="s">
        <v>492</v>
      </c>
      <c r="P605" s="47" t="s">
        <v>130</v>
      </c>
    </row>
    <row r="606" spans="15:16" x14ac:dyDescent="0.2">
      <c r="O606" s="37" t="s">
        <v>390</v>
      </c>
      <c r="P606" s="46" t="s">
        <v>130</v>
      </c>
    </row>
    <row r="607" spans="15:16" x14ac:dyDescent="0.2">
      <c r="O607" s="38" t="s">
        <v>866</v>
      </c>
      <c r="P607" s="47" t="s">
        <v>130</v>
      </c>
    </row>
    <row r="608" spans="15:16" x14ac:dyDescent="0.2">
      <c r="O608" s="37" t="s">
        <v>867</v>
      </c>
      <c r="P608" s="46" t="s">
        <v>130</v>
      </c>
    </row>
    <row r="609" spans="15:16" x14ac:dyDescent="0.2">
      <c r="O609" s="38" t="s">
        <v>739</v>
      </c>
      <c r="P609" s="47" t="s">
        <v>130</v>
      </c>
    </row>
    <row r="610" spans="15:16" x14ac:dyDescent="0.2">
      <c r="O610" s="37" t="s">
        <v>497</v>
      </c>
      <c r="P610" s="46" t="s">
        <v>130</v>
      </c>
    </row>
    <row r="611" spans="15:16" x14ac:dyDescent="0.2">
      <c r="O611" s="38" t="s">
        <v>868</v>
      </c>
      <c r="P611" s="47" t="s">
        <v>130</v>
      </c>
    </row>
    <row r="612" spans="15:16" x14ac:dyDescent="0.2">
      <c r="O612" s="37" t="s">
        <v>401</v>
      </c>
      <c r="P612" s="46" t="s">
        <v>130</v>
      </c>
    </row>
    <row r="613" spans="15:16" x14ac:dyDescent="0.2">
      <c r="O613" s="38" t="s">
        <v>869</v>
      </c>
      <c r="P613" s="47" t="s">
        <v>130</v>
      </c>
    </row>
    <row r="614" spans="15:16" x14ac:dyDescent="0.2">
      <c r="O614" s="37" t="s">
        <v>614</v>
      </c>
      <c r="P614" s="46" t="s">
        <v>130</v>
      </c>
    </row>
    <row r="615" spans="15:16" x14ac:dyDescent="0.2">
      <c r="O615" s="38" t="s">
        <v>870</v>
      </c>
      <c r="P615" s="47" t="s">
        <v>130</v>
      </c>
    </row>
    <row r="616" spans="15:16" x14ac:dyDescent="0.2">
      <c r="O616" s="37" t="s">
        <v>871</v>
      </c>
      <c r="P616" s="46" t="s">
        <v>130</v>
      </c>
    </row>
    <row r="617" spans="15:16" x14ac:dyDescent="0.2">
      <c r="O617" s="38" t="s">
        <v>872</v>
      </c>
      <c r="P617" s="47" t="s">
        <v>130</v>
      </c>
    </row>
    <row r="618" spans="15:16" x14ac:dyDescent="0.2">
      <c r="O618" s="37" t="s">
        <v>750</v>
      </c>
      <c r="P618" s="46" t="s">
        <v>130</v>
      </c>
    </row>
    <row r="619" spans="15:16" x14ac:dyDescent="0.2">
      <c r="O619" s="38" t="s">
        <v>405</v>
      </c>
      <c r="P619" s="47" t="s">
        <v>130</v>
      </c>
    </row>
    <row r="620" spans="15:16" x14ac:dyDescent="0.2">
      <c r="O620" s="37" t="s">
        <v>873</v>
      </c>
      <c r="P620" s="46" t="s">
        <v>130</v>
      </c>
    </row>
    <row r="621" spans="15:16" x14ac:dyDescent="0.2">
      <c r="O621" s="38" t="s">
        <v>406</v>
      </c>
      <c r="P621" s="47" t="s">
        <v>130</v>
      </c>
    </row>
    <row r="622" spans="15:16" x14ac:dyDescent="0.2">
      <c r="O622" s="37" t="s">
        <v>503</v>
      </c>
      <c r="P622" s="46" t="s">
        <v>130</v>
      </c>
    </row>
    <row r="623" spans="15:16" x14ac:dyDescent="0.2">
      <c r="O623" s="38" t="s">
        <v>874</v>
      </c>
      <c r="P623" s="47" t="s">
        <v>130</v>
      </c>
    </row>
    <row r="624" spans="15:16" x14ac:dyDescent="0.2">
      <c r="O624" s="37" t="s">
        <v>408</v>
      </c>
      <c r="P624" s="46" t="s">
        <v>130</v>
      </c>
    </row>
    <row r="625" spans="15:16" x14ac:dyDescent="0.2">
      <c r="O625" s="38" t="s">
        <v>875</v>
      </c>
      <c r="P625" s="47" t="s">
        <v>130</v>
      </c>
    </row>
    <row r="626" spans="15:16" x14ac:dyDescent="0.2">
      <c r="O626" s="37" t="s">
        <v>682</v>
      </c>
      <c r="P626" s="46" t="s">
        <v>130</v>
      </c>
    </row>
    <row r="627" spans="15:16" x14ac:dyDescent="0.2">
      <c r="O627" s="38" t="s">
        <v>764</v>
      </c>
      <c r="P627" s="47" t="s">
        <v>130</v>
      </c>
    </row>
    <row r="628" spans="15:16" x14ac:dyDescent="0.2">
      <c r="O628" s="37" t="s">
        <v>876</v>
      </c>
      <c r="P628" s="46" t="s">
        <v>130</v>
      </c>
    </row>
    <row r="629" spans="15:16" x14ac:dyDescent="0.2">
      <c r="O629" s="38" t="s">
        <v>877</v>
      </c>
      <c r="P629" s="47" t="s">
        <v>130</v>
      </c>
    </row>
    <row r="630" spans="15:16" x14ac:dyDescent="0.2">
      <c r="O630" s="37" t="s">
        <v>410</v>
      </c>
      <c r="P630" s="46" t="s">
        <v>130</v>
      </c>
    </row>
    <row r="631" spans="15:16" x14ac:dyDescent="0.2">
      <c r="O631" s="38" t="s">
        <v>878</v>
      </c>
      <c r="P631" s="47" t="s">
        <v>130</v>
      </c>
    </row>
    <row r="632" spans="15:16" x14ac:dyDescent="0.2">
      <c r="O632" s="37" t="s">
        <v>412</v>
      </c>
      <c r="P632" s="46" t="s">
        <v>130</v>
      </c>
    </row>
    <row r="633" spans="15:16" x14ac:dyDescent="0.2">
      <c r="O633" s="38" t="s">
        <v>770</v>
      </c>
      <c r="P633" s="47" t="s">
        <v>130</v>
      </c>
    </row>
    <row r="634" spans="15:16" x14ac:dyDescent="0.2">
      <c r="O634" s="37" t="s">
        <v>413</v>
      </c>
      <c r="P634" s="46" t="s">
        <v>130</v>
      </c>
    </row>
    <row r="635" spans="15:16" x14ac:dyDescent="0.2">
      <c r="O635" s="38" t="s">
        <v>879</v>
      </c>
      <c r="P635" s="47" t="s">
        <v>130</v>
      </c>
    </row>
    <row r="636" spans="15:16" x14ac:dyDescent="0.2">
      <c r="O636" s="37" t="s">
        <v>880</v>
      </c>
      <c r="P636" s="46" t="s">
        <v>130</v>
      </c>
    </row>
    <row r="637" spans="15:16" x14ac:dyDescent="0.2">
      <c r="O637" s="38" t="s">
        <v>511</v>
      </c>
      <c r="P637" s="47" t="s">
        <v>130</v>
      </c>
    </row>
    <row r="638" spans="15:16" x14ac:dyDescent="0.2">
      <c r="O638" s="37" t="s">
        <v>881</v>
      </c>
      <c r="P638" s="46" t="s">
        <v>130</v>
      </c>
    </row>
    <row r="639" spans="15:16" x14ac:dyDescent="0.2">
      <c r="O639" s="38" t="s">
        <v>882</v>
      </c>
      <c r="P639" s="47" t="s">
        <v>130</v>
      </c>
    </row>
    <row r="640" spans="15:16" x14ac:dyDescent="0.2">
      <c r="O640" s="37" t="s">
        <v>883</v>
      </c>
      <c r="P640" s="46" t="s">
        <v>130</v>
      </c>
    </row>
    <row r="641" spans="15:16" x14ac:dyDescent="0.2">
      <c r="O641" s="38" t="s">
        <v>884</v>
      </c>
      <c r="P641" s="47" t="s">
        <v>130</v>
      </c>
    </row>
    <row r="642" spans="15:16" x14ac:dyDescent="0.2">
      <c r="O642" s="37" t="s">
        <v>557</v>
      </c>
      <c r="P642" s="46" t="s">
        <v>130</v>
      </c>
    </row>
    <row r="643" spans="15:16" x14ac:dyDescent="0.2">
      <c r="O643" s="38" t="s">
        <v>885</v>
      </c>
      <c r="P643" s="47" t="s">
        <v>130</v>
      </c>
    </row>
    <row r="644" spans="15:16" x14ac:dyDescent="0.2">
      <c r="O644" s="37" t="s">
        <v>416</v>
      </c>
      <c r="P644" s="46" t="s">
        <v>130</v>
      </c>
    </row>
    <row r="645" spans="15:16" x14ac:dyDescent="0.2">
      <c r="O645" s="38" t="s">
        <v>417</v>
      </c>
      <c r="P645" s="47" t="s">
        <v>130</v>
      </c>
    </row>
    <row r="646" spans="15:16" x14ac:dyDescent="0.2">
      <c r="O646" s="37" t="s">
        <v>886</v>
      </c>
      <c r="P646" s="46" t="s">
        <v>130</v>
      </c>
    </row>
    <row r="647" spans="15:16" x14ac:dyDescent="0.2">
      <c r="O647" s="38" t="s">
        <v>515</v>
      </c>
      <c r="P647" s="47" t="s">
        <v>130</v>
      </c>
    </row>
    <row r="648" spans="15:16" x14ac:dyDescent="0.2">
      <c r="O648" s="37" t="s">
        <v>887</v>
      </c>
      <c r="P648" s="46" t="s">
        <v>130</v>
      </c>
    </row>
    <row r="649" spans="15:16" x14ac:dyDescent="0.2">
      <c r="O649" s="38" t="s">
        <v>888</v>
      </c>
      <c r="P649" s="47" t="s">
        <v>130</v>
      </c>
    </row>
    <row r="650" spans="15:16" x14ac:dyDescent="0.2">
      <c r="O650" s="37" t="s">
        <v>889</v>
      </c>
      <c r="P650" s="46" t="s">
        <v>130</v>
      </c>
    </row>
    <row r="651" spans="15:16" x14ac:dyDescent="0.2">
      <c r="O651" s="38" t="s">
        <v>420</v>
      </c>
      <c r="P651" s="47" t="s">
        <v>130</v>
      </c>
    </row>
    <row r="652" spans="15:16" x14ac:dyDescent="0.2">
      <c r="O652" s="37" t="s">
        <v>890</v>
      </c>
      <c r="P652" s="46" t="s">
        <v>130</v>
      </c>
    </row>
    <row r="653" spans="15:16" x14ac:dyDescent="0.2">
      <c r="O653" s="38" t="s">
        <v>421</v>
      </c>
      <c r="P653" s="47" t="s">
        <v>130</v>
      </c>
    </row>
    <row r="654" spans="15:16" x14ac:dyDescent="0.2">
      <c r="O654" s="37" t="s">
        <v>423</v>
      </c>
      <c r="P654" s="46" t="s">
        <v>130</v>
      </c>
    </row>
    <row r="655" spans="15:16" x14ac:dyDescent="0.2">
      <c r="O655" s="38" t="s">
        <v>424</v>
      </c>
      <c r="P655" s="47" t="s">
        <v>130</v>
      </c>
    </row>
    <row r="656" spans="15:16" x14ac:dyDescent="0.2">
      <c r="O656" s="37" t="s">
        <v>891</v>
      </c>
      <c r="P656" s="46" t="s">
        <v>130</v>
      </c>
    </row>
    <row r="657" spans="15:16" x14ac:dyDescent="0.2">
      <c r="O657" s="38" t="s">
        <v>892</v>
      </c>
      <c r="P657" s="47" t="s">
        <v>130</v>
      </c>
    </row>
    <row r="658" spans="15:16" x14ac:dyDescent="0.2">
      <c r="O658" s="37" t="s">
        <v>893</v>
      </c>
      <c r="P658" s="46" t="s">
        <v>130</v>
      </c>
    </row>
    <row r="659" spans="15:16" x14ac:dyDescent="0.2">
      <c r="O659" s="38" t="s">
        <v>894</v>
      </c>
      <c r="P659" s="47" t="s">
        <v>130</v>
      </c>
    </row>
    <row r="660" spans="15:16" x14ac:dyDescent="0.2">
      <c r="O660" s="37" t="s">
        <v>426</v>
      </c>
      <c r="P660" s="46" t="s">
        <v>130</v>
      </c>
    </row>
    <row r="661" spans="15:16" x14ac:dyDescent="0.2">
      <c r="O661" s="38" t="s">
        <v>427</v>
      </c>
      <c r="P661" s="47" t="s">
        <v>130</v>
      </c>
    </row>
    <row r="662" spans="15:16" x14ac:dyDescent="0.2">
      <c r="O662" s="37" t="s">
        <v>428</v>
      </c>
      <c r="P662" s="46" t="s">
        <v>130</v>
      </c>
    </row>
    <row r="663" spans="15:16" x14ac:dyDescent="0.2">
      <c r="O663" s="38" t="s">
        <v>895</v>
      </c>
      <c r="P663" s="47" t="s">
        <v>130</v>
      </c>
    </row>
    <row r="664" spans="15:16" x14ac:dyDescent="0.2">
      <c r="O664" s="37" t="s">
        <v>896</v>
      </c>
      <c r="P664" s="46" t="s">
        <v>130</v>
      </c>
    </row>
    <row r="665" spans="15:16" x14ac:dyDescent="0.2">
      <c r="O665" s="38" t="s">
        <v>897</v>
      </c>
      <c r="P665" s="47" t="s">
        <v>130</v>
      </c>
    </row>
    <row r="666" spans="15:16" x14ac:dyDescent="0.2">
      <c r="O666" s="37" t="s">
        <v>429</v>
      </c>
      <c r="P666" s="46" t="s">
        <v>130</v>
      </c>
    </row>
    <row r="667" spans="15:16" x14ac:dyDescent="0.2">
      <c r="O667" s="38" t="s">
        <v>898</v>
      </c>
      <c r="P667" s="47" t="s">
        <v>130</v>
      </c>
    </row>
    <row r="668" spans="15:16" x14ac:dyDescent="0.2">
      <c r="O668" s="37" t="s">
        <v>431</v>
      </c>
      <c r="P668" s="46" t="s">
        <v>130</v>
      </c>
    </row>
    <row r="669" spans="15:16" x14ac:dyDescent="0.2">
      <c r="O669" s="38" t="s">
        <v>525</v>
      </c>
      <c r="P669" s="47" t="s">
        <v>130</v>
      </c>
    </row>
    <row r="670" spans="15:16" x14ac:dyDescent="0.2">
      <c r="O670" s="37" t="s">
        <v>527</v>
      </c>
      <c r="P670" s="46" t="s">
        <v>130</v>
      </c>
    </row>
    <row r="671" spans="15:16" x14ac:dyDescent="0.2">
      <c r="O671" s="38" t="s">
        <v>702</v>
      </c>
      <c r="P671" s="47" t="s">
        <v>130</v>
      </c>
    </row>
    <row r="672" spans="15:16" x14ac:dyDescent="0.2">
      <c r="O672" s="37" t="s">
        <v>432</v>
      </c>
      <c r="P672" s="46" t="s">
        <v>130</v>
      </c>
    </row>
    <row r="673" spans="15:16" x14ac:dyDescent="0.2">
      <c r="O673" s="38" t="s">
        <v>899</v>
      </c>
      <c r="P673" s="47" t="s">
        <v>130</v>
      </c>
    </row>
    <row r="674" spans="15:16" x14ac:dyDescent="0.2">
      <c r="O674" s="37" t="s">
        <v>900</v>
      </c>
      <c r="P674" s="46" t="s">
        <v>130</v>
      </c>
    </row>
    <row r="675" spans="15:16" x14ac:dyDescent="0.2">
      <c r="O675" s="38" t="s">
        <v>434</v>
      </c>
      <c r="P675" s="47" t="s">
        <v>130</v>
      </c>
    </row>
    <row r="676" spans="15:16" x14ac:dyDescent="0.2">
      <c r="O676" s="37" t="s">
        <v>529</v>
      </c>
      <c r="P676" s="46" t="s">
        <v>130</v>
      </c>
    </row>
    <row r="677" spans="15:16" x14ac:dyDescent="0.2">
      <c r="O677" s="38" t="s">
        <v>901</v>
      </c>
      <c r="P677" s="47" t="s">
        <v>130</v>
      </c>
    </row>
    <row r="678" spans="15:16" x14ac:dyDescent="0.2">
      <c r="O678" s="37" t="s">
        <v>902</v>
      </c>
      <c r="P678" s="46" t="s">
        <v>130</v>
      </c>
    </row>
    <row r="679" spans="15:16" x14ac:dyDescent="0.2">
      <c r="O679" s="38" t="s">
        <v>530</v>
      </c>
      <c r="P679" s="47" t="s">
        <v>130</v>
      </c>
    </row>
    <row r="680" spans="15:16" x14ac:dyDescent="0.2">
      <c r="O680" s="37" t="s">
        <v>435</v>
      </c>
      <c r="P680" s="46" t="s">
        <v>130</v>
      </c>
    </row>
    <row r="681" spans="15:16" x14ac:dyDescent="0.2">
      <c r="O681" s="38" t="s">
        <v>903</v>
      </c>
      <c r="P681" s="47" t="s">
        <v>130</v>
      </c>
    </row>
    <row r="682" spans="15:16" x14ac:dyDescent="0.2">
      <c r="O682" s="37" t="s">
        <v>904</v>
      </c>
      <c r="P682" s="46" t="s">
        <v>130</v>
      </c>
    </row>
    <row r="683" spans="15:16" x14ac:dyDescent="0.2">
      <c r="O683" s="38" t="s">
        <v>905</v>
      </c>
      <c r="P683" s="47" t="s">
        <v>130</v>
      </c>
    </row>
    <row r="684" spans="15:16" x14ac:dyDescent="0.2">
      <c r="O684" s="37" t="s">
        <v>536</v>
      </c>
      <c r="P684" s="46" t="s">
        <v>130</v>
      </c>
    </row>
    <row r="685" spans="15:16" x14ac:dyDescent="0.2">
      <c r="O685" s="38" t="s">
        <v>906</v>
      </c>
      <c r="P685" s="47" t="s">
        <v>130</v>
      </c>
    </row>
    <row r="686" spans="15:16" x14ac:dyDescent="0.2">
      <c r="O686" s="37" t="s">
        <v>907</v>
      </c>
      <c r="P686" s="46" t="s">
        <v>130</v>
      </c>
    </row>
    <row r="687" spans="15:16" x14ac:dyDescent="0.2">
      <c r="O687" s="38" t="s">
        <v>813</v>
      </c>
      <c r="P687" s="47" t="s">
        <v>130</v>
      </c>
    </row>
    <row r="688" spans="15:16" x14ac:dyDescent="0.2">
      <c r="O688" s="37" t="s">
        <v>441</v>
      </c>
      <c r="P688" s="46" t="s">
        <v>130</v>
      </c>
    </row>
    <row r="689" spans="15:16" x14ac:dyDescent="0.2">
      <c r="O689" s="38" t="s">
        <v>814</v>
      </c>
      <c r="P689" s="47" t="s">
        <v>130</v>
      </c>
    </row>
    <row r="690" spans="15:16" x14ac:dyDescent="0.2">
      <c r="O690" s="37" t="s">
        <v>538</v>
      </c>
      <c r="P690" s="46" t="s">
        <v>130</v>
      </c>
    </row>
    <row r="691" spans="15:16" x14ac:dyDescent="0.2">
      <c r="O691" s="38" t="s">
        <v>908</v>
      </c>
      <c r="P691" s="47" t="s">
        <v>130</v>
      </c>
    </row>
    <row r="692" spans="15:16" x14ac:dyDescent="0.2">
      <c r="O692" s="37" t="s">
        <v>909</v>
      </c>
      <c r="P692" s="46" t="s">
        <v>130</v>
      </c>
    </row>
    <row r="693" spans="15:16" x14ac:dyDescent="0.2">
      <c r="O693" s="38" t="s">
        <v>910</v>
      </c>
      <c r="P693" s="47" t="s">
        <v>130</v>
      </c>
    </row>
    <row r="694" spans="15:16" x14ac:dyDescent="0.2">
      <c r="O694" s="37" t="s">
        <v>911</v>
      </c>
      <c r="P694" s="46" t="s">
        <v>130</v>
      </c>
    </row>
    <row r="695" spans="15:16" x14ac:dyDescent="0.2">
      <c r="O695" s="38" t="s">
        <v>912</v>
      </c>
      <c r="P695" s="47" t="s">
        <v>130</v>
      </c>
    </row>
    <row r="696" spans="15:16" x14ac:dyDescent="0.2">
      <c r="O696" s="37" t="s">
        <v>597</v>
      </c>
      <c r="P696" s="46" t="s">
        <v>129</v>
      </c>
    </row>
    <row r="697" spans="15:16" x14ac:dyDescent="0.2">
      <c r="O697" s="38" t="s">
        <v>913</v>
      </c>
      <c r="P697" s="47" t="s">
        <v>129</v>
      </c>
    </row>
    <row r="698" spans="15:16" x14ac:dyDescent="0.2">
      <c r="O698" s="37" t="s">
        <v>914</v>
      </c>
      <c r="P698" s="46" t="s">
        <v>129</v>
      </c>
    </row>
    <row r="699" spans="15:16" x14ac:dyDescent="0.2">
      <c r="O699" s="38" t="s">
        <v>487</v>
      </c>
      <c r="P699" s="47" t="s">
        <v>129</v>
      </c>
    </row>
    <row r="700" spans="15:16" x14ac:dyDescent="0.2">
      <c r="O700" s="37" t="s">
        <v>915</v>
      </c>
      <c r="P700" s="46" t="s">
        <v>129</v>
      </c>
    </row>
    <row r="701" spans="15:16" x14ac:dyDescent="0.2">
      <c r="O701" s="38" t="s">
        <v>488</v>
      </c>
      <c r="P701" s="47" t="s">
        <v>129</v>
      </c>
    </row>
    <row r="702" spans="15:16" x14ac:dyDescent="0.2">
      <c r="O702" s="37" t="s">
        <v>861</v>
      </c>
      <c r="P702" s="46" t="s">
        <v>129</v>
      </c>
    </row>
    <row r="703" spans="15:16" x14ac:dyDescent="0.2">
      <c r="O703" s="38" t="s">
        <v>490</v>
      </c>
      <c r="P703" s="47" t="s">
        <v>129</v>
      </c>
    </row>
    <row r="704" spans="15:16" x14ac:dyDescent="0.2">
      <c r="O704" s="37" t="s">
        <v>863</v>
      </c>
      <c r="P704" s="46" t="s">
        <v>129</v>
      </c>
    </row>
    <row r="705" spans="15:16" x14ac:dyDescent="0.2">
      <c r="O705" s="38" t="s">
        <v>492</v>
      </c>
      <c r="P705" s="47" t="s">
        <v>129</v>
      </c>
    </row>
    <row r="706" spans="15:16" x14ac:dyDescent="0.2">
      <c r="O706" s="37" t="s">
        <v>390</v>
      </c>
      <c r="P706" s="46" t="s">
        <v>129</v>
      </c>
    </row>
    <row r="707" spans="15:16" x14ac:dyDescent="0.2">
      <c r="O707" s="38" t="s">
        <v>866</v>
      </c>
      <c r="P707" s="47" t="s">
        <v>129</v>
      </c>
    </row>
    <row r="708" spans="15:16" x14ac:dyDescent="0.2">
      <c r="O708" s="37" t="s">
        <v>497</v>
      </c>
      <c r="P708" s="46" t="s">
        <v>129</v>
      </c>
    </row>
    <row r="709" spans="15:16" x14ac:dyDescent="0.2">
      <c r="O709" s="38" t="s">
        <v>916</v>
      </c>
      <c r="P709" s="47" t="s">
        <v>129</v>
      </c>
    </row>
    <row r="710" spans="15:16" x14ac:dyDescent="0.2">
      <c r="O710" s="37" t="s">
        <v>917</v>
      </c>
      <c r="P710" s="46" t="s">
        <v>129</v>
      </c>
    </row>
    <row r="711" spans="15:16" x14ac:dyDescent="0.2">
      <c r="O711" s="38" t="s">
        <v>743</v>
      </c>
      <c r="P711" s="47" t="s">
        <v>129</v>
      </c>
    </row>
    <row r="712" spans="15:16" x14ac:dyDescent="0.2">
      <c r="O712" s="37" t="s">
        <v>744</v>
      </c>
      <c r="P712" s="46" t="s">
        <v>129</v>
      </c>
    </row>
    <row r="713" spans="15:16" x14ac:dyDescent="0.2">
      <c r="O713" s="38" t="s">
        <v>918</v>
      </c>
      <c r="P713" s="47" t="s">
        <v>129</v>
      </c>
    </row>
    <row r="714" spans="15:16" x14ac:dyDescent="0.2">
      <c r="O714" s="37" t="s">
        <v>919</v>
      </c>
      <c r="P714" s="46" t="s">
        <v>129</v>
      </c>
    </row>
    <row r="715" spans="15:16" x14ac:dyDescent="0.2">
      <c r="O715" s="38" t="s">
        <v>920</v>
      </c>
      <c r="P715" s="47" t="s">
        <v>129</v>
      </c>
    </row>
    <row r="716" spans="15:16" x14ac:dyDescent="0.2">
      <c r="O716" s="37" t="s">
        <v>405</v>
      </c>
      <c r="P716" s="46" t="s">
        <v>129</v>
      </c>
    </row>
    <row r="717" spans="15:16" x14ac:dyDescent="0.2">
      <c r="O717" s="38" t="s">
        <v>754</v>
      </c>
      <c r="P717" s="47" t="s">
        <v>129</v>
      </c>
    </row>
    <row r="718" spans="15:16" x14ac:dyDescent="0.2">
      <c r="O718" s="37" t="s">
        <v>921</v>
      </c>
      <c r="P718" s="46" t="s">
        <v>129</v>
      </c>
    </row>
    <row r="719" spans="15:16" x14ac:dyDescent="0.2">
      <c r="O719" s="38" t="s">
        <v>406</v>
      </c>
      <c r="P719" s="47" t="s">
        <v>129</v>
      </c>
    </row>
    <row r="720" spans="15:16" x14ac:dyDescent="0.2">
      <c r="O720" s="37" t="s">
        <v>503</v>
      </c>
      <c r="P720" s="46" t="s">
        <v>129</v>
      </c>
    </row>
    <row r="721" spans="15:16" x14ac:dyDescent="0.2">
      <c r="O721" s="38" t="s">
        <v>922</v>
      </c>
      <c r="P721" s="47" t="s">
        <v>129</v>
      </c>
    </row>
    <row r="722" spans="15:16" x14ac:dyDescent="0.2">
      <c r="O722" s="37" t="s">
        <v>505</v>
      </c>
      <c r="P722" s="46" t="s">
        <v>129</v>
      </c>
    </row>
    <row r="723" spans="15:16" x14ac:dyDescent="0.2">
      <c r="O723" s="38" t="s">
        <v>408</v>
      </c>
      <c r="P723" s="47" t="s">
        <v>129</v>
      </c>
    </row>
    <row r="724" spans="15:16" x14ac:dyDescent="0.2">
      <c r="O724" s="37" t="s">
        <v>682</v>
      </c>
      <c r="P724" s="46" t="s">
        <v>129</v>
      </c>
    </row>
    <row r="725" spans="15:16" x14ac:dyDescent="0.2">
      <c r="O725" s="38" t="s">
        <v>764</v>
      </c>
      <c r="P725" s="47" t="s">
        <v>129</v>
      </c>
    </row>
    <row r="726" spans="15:16" x14ac:dyDescent="0.2">
      <c r="O726" s="37" t="s">
        <v>923</v>
      </c>
      <c r="P726" s="46" t="s">
        <v>129</v>
      </c>
    </row>
    <row r="727" spans="15:16" x14ac:dyDescent="0.2">
      <c r="O727" s="38" t="s">
        <v>924</v>
      </c>
      <c r="P727" s="47" t="s">
        <v>129</v>
      </c>
    </row>
    <row r="728" spans="15:16" x14ac:dyDescent="0.2">
      <c r="O728" s="37" t="s">
        <v>410</v>
      </c>
      <c r="P728" s="46" t="s">
        <v>129</v>
      </c>
    </row>
    <row r="729" spans="15:16" x14ac:dyDescent="0.2">
      <c r="O729" s="38" t="s">
        <v>508</v>
      </c>
      <c r="P729" s="47" t="s">
        <v>129</v>
      </c>
    </row>
    <row r="730" spans="15:16" x14ac:dyDescent="0.2">
      <c r="O730" s="37" t="s">
        <v>925</v>
      </c>
      <c r="P730" s="46" t="s">
        <v>129</v>
      </c>
    </row>
    <row r="731" spans="15:16" x14ac:dyDescent="0.2">
      <c r="O731" s="38" t="s">
        <v>412</v>
      </c>
      <c r="P731" s="47" t="s">
        <v>129</v>
      </c>
    </row>
    <row r="732" spans="15:16" x14ac:dyDescent="0.2">
      <c r="O732" s="37" t="s">
        <v>770</v>
      </c>
      <c r="P732" s="46" t="s">
        <v>129</v>
      </c>
    </row>
    <row r="733" spans="15:16" x14ac:dyDescent="0.2">
      <c r="O733" s="38" t="s">
        <v>926</v>
      </c>
      <c r="P733" s="47" t="s">
        <v>129</v>
      </c>
    </row>
    <row r="734" spans="15:16" x14ac:dyDescent="0.2">
      <c r="O734" s="37" t="s">
        <v>413</v>
      </c>
      <c r="P734" s="46" t="s">
        <v>129</v>
      </c>
    </row>
    <row r="735" spans="15:16" x14ac:dyDescent="0.2">
      <c r="O735" s="38" t="s">
        <v>927</v>
      </c>
      <c r="P735" s="47" t="s">
        <v>129</v>
      </c>
    </row>
    <row r="736" spans="15:16" x14ac:dyDescent="0.2">
      <c r="O736" s="37" t="s">
        <v>511</v>
      </c>
      <c r="P736" s="46" t="s">
        <v>129</v>
      </c>
    </row>
    <row r="737" spans="15:16" x14ac:dyDescent="0.2">
      <c r="O737" s="38" t="s">
        <v>884</v>
      </c>
      <c r="P737" s="47" t="s">
        <v>129</v>
      </c>
    </row>
    <row r="738" spans="15:16" x14ac:dyDescent="0.2">
      <c r="O738" s="37" t="s">
        <v>928</v>
      </c>
      <c r="P738" s="46" t="s">
        <v>129</v>
      </c>
    </row>
    <row r="739" spans="15:16" x14ac:dyDescent="0.2">
      <c r="O739" s="38" t="s">
        <v>929</v>
      </c>
      <c r="P739" s="47" t="s">
        <v>129</v>
      </c>
    </row>
    <row r="740" spans="15:16" x14ac:dyDescent="0.2">
      <c r="O740" s="37" t="s">
        <v>557</v>
      </c>
      <c r="P740" s="46" t="s">
        <v>129</v>
      </c>
    </row>
    <row r="741" spans="15:16" x14ac:dyDescent="0.2">
      <c r="O741" s="38" t="s">
        <v>930</v>
      </c>
      <c r="P741" s="47" t="s">
        <v>129</v>
      </c>
    </row>
    <row r="742" spans="15:16" x14ac:dyDescent="0.2">
      <c r="O742" s="37" t="s">
        <v>416</v>
      </c>
      <c r="P742" s="46" t="s">
        <v>129</v>
      </c>
    </row>
    <row r="743" spans="15:16" x14ac:dyDescent="0.2">
      <c r="O743" s="38" t="s">
        <v>421</v>
      </c>
      <c r="P743" s="47" t="s">
        <v>129</v>
      </c>
    </row>
    <row r="744" spans="15:16" x14ac:dyDescent="0.2">
      <c r="O744" s="37" t="s">
        <v>423</v>
      </c>
      <c r="P744" s="46" t="s">
        <v>129</v>
      </c>
    </row>
    <row r="745" spans="15:16" x14ac:dyDescent="0.2">
      <c r="O745" s="38" t="s">
        <v>424</v>
      </c>
      <c r="P745" s="47" t="s">
        <v>129</v>
      </c>
    </row>
    <row r="746" spans="15:16" x14ac:dyDescent="0.2">
      <c r="O746" s="37" t="s">
        <v>694</v>
      </c>
      <c r="P746" s="46" t="s">
        <v>129</v>
      </c>
    </row>
    <row r="747" spans="15:16" x14ac:dyDescent="0.2">
      <c r="O747" s="38" t="s">
        <v>931</v>
      </c>
      <c r="P747" s="47" t="s">
        <v>129</v>
      </c>
    </row>
    <row r="748" spans="15:16" x14ac:dyDescent="0.2">
      <c r="O748" s="37" t="s">
        <v>426</v>
      </c>
      <c r="P748" s="46" t="s">
        <v>129</v>
      </c>
    </row>
    <row r="749" spans="15:16" x14ac:dyDescent="0.2">
      <c r="O749" s="38" t="s">
        <v>427</v>
      </c>
      <c r="P749" s="47" t="s">
        <v>129</v>
      </c>
    </row>
    <row r="750" spans="15:16" x14ac:dyDescent="0.2">
      <c r="O750" s="37" t="s">
        <v>428</v>
      </c>
      <c r="P750" s="46" t="s">
        <v>129</v>
      </c>
    </row>
    <row r="751" spans="15:16" x14ac:dyDescent="0.2">
      <c r="O751" s="38" t="s">
        <v>520</v>
      </c>
      <c r="P751" s="47" t="s">
        <v>129</v>
      </c>
    </row>
    <row r="752" spans="15:16" x14ac:dyDescent="0.2">
      <c r="O752" s="37" t="s">
        <v>932</v>
      </c>
      <c r="P752" s="46" t="s">
        <v>129</v>
      </c>
    </row>
    <row r="753" spans="15:16" x14ac:dyDescent="0.2">
      <c r="O753" s="38" t="s">
        <v>933</v>
      </c>
      <c r="P753" s="47" t="s">
        <v>129</v>
      </c>
    </row>
    <row r="754" spans="15:16" x14ac:dyDescent="0.2">
      <c r="O754" s="37" t="s">
        <v>569</v>
      </c>
      <c r="P754" s="46" t="s">
        <v>129</v>
      </c>
    </row>
    <row r="755" spans="15:16" x14ac:dyDescent="0.2">
      <c r="O755" s="38" t="s">
        <v>934</v>
      </c>
      <c r="P755" s="47" t="s">
        <v>129</v>
      </c>
    </row>
    <row r="756" spans="15:16" x14ac:dyDescent="0.2">
      <c r="O756" s="37" t="s">
        <v>935</v>
      </c>
      <c r="P756" s="46" t="s">
        <v>129</v>
      </c>
    </row>
    <row r="757" spans="15:16" x14ac:dyDescent="0.2">
      <c r="O757" s="38" t="s">
        <v>429</v>
      </c>
      <c r="P757" s="47" t="s">
        <v>129</v>
      </c>
    </row>
    <row r="758" spans="15:16" x14ac:dyDescent="0.2">
      <c r="O758" s="37" t="s">
        <v>431</v>
      </c>
      <c r="P758" s="46" t="s">
        <v>129</v>
      </c>
    </row>
    <row r="759" spans="15:16" x14ac:dyDescent="0.2">
      <c r="O759" s="38" t="s">
        <v>936</v>
      </c>
      <c r="P759" s="47" t="s">
        <v>129</v>
      </c>
    </row>
    <row r="760" spans="15:16" x14ac:dyDescent="0.2">
      <c r="O760" s="37" t="s">
        <v>937</v>
      </c>
      <c r="P760" s="46" t="s">
        <v>129</v>
      </c>
    </row>
    <row r="761" spans="15:16" x14ac:dyDescent="0.2">
      <c r="O761" s="38" t="s">
        <v>527</v>
      </c>
      <c r="P761" s="47" t="s">
        <v>129</v>
      </c>
    </row>
    <row r="762" spans="15:16" x14ac:dyDescent="0.2">
      <c r="O762" s="37" t="s">
        <v>702</v>
      </c>
      <c r="P762" s="46" t="s">
        <v>129</v>
      </c>
    </row>
    <row r="763" spans="15:16" x14ac:dyDescent="0.2">
      <c r="O763" s="38" t="s">
        <v>432</v>
      </c>
      <c r="P763" s="47" t="s">
        <v>129</v>
      </c>
    </row>
    <row r="764" spans="15:16" x14ac:dyDescent="0.2">
      <c r="O764" s="37" t="s">
        <v>938</v>
      </c>
      <c r="P764" s="46" t="s">
        <v>129</v>
      </c>
    </row>
    <row r="765" spans="15:16" x14ac:dyDescent="0.2">
      <c r="O765" s="38" t="s">
        <v>939</v>
      </c>
      <c r="P765" s="47" t="s">
        <v>129</v>
      </c>
    </row>
    <row r="766" spans="15:16" x14ac:dyDescent="0.2">
      <c r="O766" s="37" t="s">
        <v>940</v>
      </c>
      <c r="P766" s="46" t="s">
        <v>129</v>
      </c>
    </row>
    <row r="767" spans="15:16" x14ac:dyDescent="0.2">
      <c r="O767" s="38" t="s">
        <v>530</v>
      </c>
      <c r="P767" s="47" t="s">
        <v>129</v>
      </c>
    </row>
    <row r="768" spans="15:16" x14ac:dyDescent="0.2">
      <c r="O768" s="37" t="s">
        <v>435</v>
      </c>
      <c r="P768" s="46" t="s">
        <v>129</v>
      </c>
    </row>
    <row r="769" spans="15:16" x14ac:dyDescent="0.2">
      <c r="O769" s="38" t="s">
        <v>941</v>
      </c>
      <c r="P769" s="47" t="s">
        <v>129</v>
      </c>
    </row>
    <row r="770" spans="15:16" x14ac:dyDescent="0.2">
      <c r="O770" s="37" t="s">
        <v>942</v>
      </c>
      <c r="P770" s="46" t="s">
        <v>129</v>
      </c>
    </row>
    <row r="771" spans="15:16" x14ac:dyDescent="0.2">
      <c r="O771" s="38" t="s">
        <v>943</v>
      </c>
      <c r="P771" s="47" t="s">
        <v>129</v>
      </c>
    </row>
    <row r="772" spans="15:16" x14ac:dyDescent="0.2">
      <c r="O772" s="37" t="s">
        <v>944</v>
      </c>
      <c r="P772" s="46" t="s">
        <v>129</v>
      </c>
    </row>
    <row r="773" spans="15:16" x14ac:dyDescent="0.2">
      <c r="O773" s="38" t="s">
        <v>945</v>
      </c>
      <c r="P773" s="47" t="s">
        <v>129</v>
      </c>
    </row>
    <row r="774" spans="15:16" x14ac:dyDescent="0.2">
      <c r="O774" s="37" t="s">
        <v>946</v>
      </c>
      <c r="P774" s="46" t="s">
        <v>129</v>
      </c>
    </row>
    <row r="775" spans="15:16" x14ac:dyDescent="0.2">
      <c r="O775" s="38" t="s">
        <v>947</v>
      </c>
      <c r="P775" s="47" t="s">
        <v>129</v>
      </c>
    </row>
    <row r="776" spans="15:16" x14ac:dyDescent="0.2">
      <c r="O776" s="37" t="s">
        <v>536</v>
      </c>
      <c r="P776" s="46" t="s">
        <v>129</v>
      </c>
    </row>
    <row r="777" spans="15:16" x14ac:dyDescent="0.2">
      <c r="O777" s="38" t="s">
        <v>948</v>
      </c>
      <c r="P777" s="47" t="s">
        <v>129</v>
      </c>
    </row>
    <row r="778" spans="15:16" x14ac:dyDescent="0.2">
      <c r="O778" s="37" t="s">
        <v>949</v>
      </c>
      <c r="P778" s="46" t="s">
        <v>129</v>
      </c>
    </row>
    <row r="779" spans="15:16" x14ac:dyDescent="0.2">
      <c r="O779" s="38" t="s">
        <v>950</v>
      </c>
      <c r="P779" s="47" t="s">
        <v>129</v>
      </c>
    </row>
    <row r="780" spans="15:16" x14ac:dyDescent="0.2">
      <c r="O780" s="37" t="s">
        <v>907</v>
      </c>
      <c r="P780" s="46" t="s">
        <v>129</v>
      </c>
    </row>
    <row r="781" spans="15:16" x14ac:dyDescent="0.2">
      <c r="O781" s="38" t="s">
        <v>813</v>
      </c>
      <c r="P781" s="47" t="s">
        <v>129</v>
      </c>
    </row>
    <row r="782" spans="15:16" x14ac:dyDescent="0.2">
      <c r="O782" s="37" t="s">
        <v>951</v>
      </c>
      <c r="P782" s="46" t="s">
        <v>129</v>
      </c>
    </row>
    <row r="783" spans="15:16" x14ac:dyDescent="0.2">
      <c r="O783" s="38" t="s">
        <v>441</v>
      </c>
      <c r="P783" s="47" t="s">
        <v>129</v>
      </c>
    </row>
    <row r="784" spans="15:16" x14ac:dyDescent="0.2">
      <c r="O784" s="37" t="s">
        <v>814</v>
      </c>
      <c r="P784" s="46" t="s">
        <v>129</v>
      </c>
    </row>
    <row r="785" spans="15:16" x14ac:dyDescent="0.2">
      <c r="O785" s="38" t="s">
        <v>952</v>
      </c>
      <c r="P785" s="47" t="s">
        <v>129</v>
      </c>
    </row>
    <row r="786" spans="15:16" x14ac:dyDescent="0.2">
      <c r="O786" s="37" t="s">
        <v>538</v>
      </c>
      <c r="P786" s="46" t="s">
        <v>129</v>
      </c>
    </row>
    <row r="787" spans="15:16" x14ac:dyDescent="0.2">
      <c r="O787" s="38" t="s">
        <v>953</v>
      </c>
      <c r="P787" s="47" t="s">
        <v>129</v>
      </c>
    </row>
    <row r="788" spans="15:16" x14ac:dyDescent="0.2">
      <c r="O788" s="37" t="s">
        <v>954</v>
      </c>
      <c r="P788" s="46" t="s">
        <v>128</v>
      </c>
    </row>
    <row r="789" spans="15:16" x14ac:dyDescent="0.2">
      <c r="O789" s="38" t="s">
        <v>597</v>
      </c>
      <c r="P789" s="47" t="s">
        <v>128</v>
      </c>
    </row>
    <row r="790" spans="15:16" x14ac:dyDescent="0.2">
      <c r="O790" s="37" t="s">
        <v>955</v>
      </c>
      <c r="P790" s="46" t="s">
        <v>128</v>
      </c>
    </row>
    <row r="791" spans="15:16" x14ac:dyDescent="0.2">
      <c r="O791" s="38" t="s">
        <v>956</v>
      </c>
      <c r="P791" s="47" t="s">
        <v>128</v>
      </c>
    </row>
    <row r="792" spans="15:16" x14ac:dyDescent="0.2">
      <c r="O792" s="37" t="s">
        <v>957</v>
      </c>
      <c r="P792" s="46" t="s">
        <v>128</v>
      </c>
    </row>
    <row r="793" spans="15:16" x14ac:dyDescent="0.2">
      <c r="O793" s="38" t="s">
        <v>487</v>
      </c>
      <c r="P793" s="47" t="s">
        <v>128</v>
      </c>
    </row>
    <row r="794" spans="15:16" x14ac:dyDescent="0.2">
      <c r="O794" s="37" t="s">
        <v>958</v>
      </c>
      <c r="P794" s="46" t="s">
        <v>128</v>
      </c>
    </row>
    <row r="795" spans="15:16" x14ac:dyDescent="0.2">
      <c r="O795" s="38" t="s">
        <v>488</v>
      </c>
      <c r="P795" s="47" t="s">
        <v>128</v>
      </c>
    </row>
    <row r="796" spans="15:16" x14ac:dyDescent="0.2">
      <c r="O796" s="37" t="s">
        <v>959</v>
      </c>
      <c r="P796" s="46" t="s">
        <v>128</v>
      </c>
    </row>
    <row r="797" spans="15:16" x14ac:dyDescent="0.2">
      <c r="O797" s="38" t="s">
        <v>960</v>
      </c>
      <c r="P797" s="47" t="s">
        <v>128</v>
      </c>
    </row>
    <row r="798" spans="15:16" x14ac:dyDescent="0.2">
      <c r="O798" s="37" t="s">
        <v>961</v>
      </c>
      <c r="P798" s="46" t="s">
        <v>128</v>
      </c>
    </row>
    <row r="799" spans="15:16" x14ac:dyDescent="0.2">
      <c r="O799" s="38" t="s">
        <v>383</v>
      </c>
      <c r="P799" s="47" t="s">
        <v>128</v>
      </c>
    </row>
    <row r="800" spans="15:16" x14ac:dyDescent="0.2">
      <c r="O800" s="37" t="s">
        <v>384</v>
      </c>
      <c r="P800" s="46" t="s">
        <v>128</v>
      </c>
    </row>
    <row r="801" spans="15:16" x14ac:dyDescent="0.2">
      <c r="O801" s="38" t="s">
        <v>490</v>
      </c>
      <c r="P801" s="47" t="s">
        <v>128</v>
      </c>
    </row>
    <row r="802" spans="15:16" x14ac:dyDescent="0.2">
      <c r="O802" s="37" t="s">
        <v>863</v>
      </c>
      <c r="P802" s="46" t="s">
        <v>128</v>
      </c>
    </row>
    <row r="803" spans="15:16" x14ac:dyDescent="0.2">
      <c r="O803" s="38" t="s">
        <v>962</v>
      </c>
      <c r="P803" s="47" t="s">
        <v>128</v>
      </c>
    </row>
    <row r="804" spans="15:16" x14ac:dyDescent="0.2">
      <c r="O804" s="37" t="s">
        <v>963</v>
      </c>
      <c r="P804" s="46" t="s">
        <v>128</v>
      </c>
    </row>
    <row r="805" spans="15:16" x14ac:dyDescent="0.2">
      <c r="O805" s="38" t="s">
        <v>386</v>
      </c>
      <c r="P805" s="47" t="s">
        <v>128</v>
      </c>
    </row>
    <row r="806" spans="15:16" x14ac:dyDescent="0.2">
      <c r="O806" s="37" t="s">
        <v>964</v>
      </c>
      <c r="P806" s="46" t="s">
        <v>128</v>
      </c>
    </row>
    <row r="807" spans="15:16" x14ac:dyDescent="0.2">
      <c r="O807" s="38" t="s">
        <v>389</v>
      </c>
      <c r="P807" s="47" t="s">
        <v>128</v>
      </c>
    </row>
    <row r="808" spans="15:16" x14ac:dyDescent="0.2">
      <c r="O808" s="37" t="s">
        <v>390</v>
      </c>
      <c r="P808" s="46" t="s">
        <v>128</v>
      </c>
    </row>
    <row r="809" spans="15:16" x14ac:dyDescent="0.2">
      <c r="O809" s="38" t="s">
        <v>735</v>
      </c>
      <c r="P809" s="47" t="s">
        <v>128</v>
      </c>
    </row>
    <row r="810" spans="15:16" x14ac:dyDescent="0.2">
      <c r="O810" s="37" t="s">
        <v>866</v>
      </c>
      <c r="P810" s="46" t="s">
        <v>128</v>
      </c>
    </row>
    <row r="811" spans="15:16" x14ac:dyDescent="0.2">
      <c r="O811" s="38" t="s">
        <v>497</v>
      </c>
      <c r="P811" s="47" t="s">
        <v>128</v>
      </c>
    </row>
    <row r="812" spans="15:16" x14ac:dyDescent="0.2">
      <c r="O812" s="37" t="s">
        <v>400</v>
      </c>
      <c r="P812" s="46" t="s">
        <v>128</v>
      </c>
    </row>
    <row r="813" spans="15:16" x14ac:dyDescent="0.2">
      <c r="O813" s="38" t="s">
        <v>965</v>
      </c>
      <c r="P813" s="47" t="s">
        <v>128</v>
      </c>
    </row>
    <row r="814" spans="15:16" x14ac:dyDescent="0.2">
      <c r="O814" s="37" t="s">
        <v>743</v>
      </c>
      <c r="P814" s="46" t="s">
        <v>128</v>
      </c>
    </row>
    <row r="815" spans="15:16" x14ac:dyDescent="0.2">
      <c r="O815" s="38" t="s">
        <v>918</v>
      </c>
      <c r="P815" s="47" t="s">
        <v>128</v>
      </c>
    </row>
    <row r="816" spans="15:16" x14ac:dyDescent="0.2">
      <c r="O816" s="37" t="s">
        <v>966</v>
      </c>
      <c r="P816" s="46" t="s">
        <v>128</v>
      </c>
    </row>
    <row r="817" spans="15:16" x14ac:dyDescent="0.2">
      <c r="O817" s="38" t="s">
        <v>967</v>
      </c>
      <c r="P817" s="47" t="s">
        <v>128</v>
      </c>
    </row>
    <row r="818" spans="15:16" x14ac:dyDescent="0.2">
      <c r="O818" s="37" t="s">
        <v>968</v>
      </c>
      <c r="P818" s="46" t="s">
        <v>128</v>
      </c>
    </row>
    <row r="819" spans="15:16" x14ac:dyDescent="0.2">
      <c r="O819" s="38" t="s">
        <v>969</v>
      </c>
      <c r="P819" s="47" t="s">
        <v>128</v>
      </c>
    </row>
    <row r="820" spans="15:16" x14ac:dyDescent="0.2">
      <c r="O820" s="37" t="s">
        <v>405</v>
      </c>
      <c r="P820" s="46" t="s">
        <v>128</v>
      </c>
    </row>
    <row r="821" spans="15:16" x14ac:dyDescent="0.2">
      <c r="O821" s="38" t="s">
        <v>754</v>
      </c>
      <c r="P821" s="47" t="s">
        <v>128</v>
      </c>
    </row>
    <row r="822" spans="15:16" x14ac:dyDescent="0.2">
      <c r="O822" s="37" t="s">
        <v>406</v>
      </c>
      <c r="P822" s="46" t="s">
        <v>128</v>
      </c>
    </row>
    <row r="823" spans="15:16" x14ac:dyDescent="0.2">
      <c r="O823" s="38" t="s">
        <v>618</v>
      </c>
      <c r="P823" s="47" t="s">
        <v>128</v>
      </c>
    </row>
    <row r="824" spans="15:16" x14ac:dyDescent="0.2">
      <c r="O824" s="37" t="s">
        <v>408</v>
      </c>
      <c r="P824" s="46" t="s">
        <v>128</v>
      </c>
    </row>
    <row r="825" spans="15:16" x14ac:dyDescent="0.2">
      <c r="O825" s="38" t="s">
        <v>875</v>
      </c>
      <c r="P825" s="47" t="s">
        <v>128</v>
      </c>
    </row>
    <row r="826" spans="15:16" x14ac:dyDescent="0.2">
      <c r="O826" s="37" t="s">
        <v>970</v>
      </c>
      <c r="P826" s="46" t="s">
        <v>128</v>
      </c>
    </row>
    <row r="827" spans="15:16" x14ac:dyDescent="0.2">
      <c r="O827" s="38" t="s">
        <v>682</v>
      </c>
      <c r="P827" s="47" t="s">
        <v>128</v>
      </c>
    </row>
    <row r="828" spans="15:16" x14ac:dyDescent="0.2">
      <c r="O828" s="37" t="s">
        <v>764</v>
      </c>
      <c r="P828" s="46" t="s">
        <v>128</v>
      </c>
    </row>
    <row r="829" spans="15:16" x14ac:dyDescent="0.2">
      <c r="O829" s="38" t="s">
        <v>876</v>
      </c>
      <c r="P829" s="47" t="s">
        <v>128</v>
      </c>
    </row>
    <row r="830" spans="15:16" x14ac:dyDescent="0.2">
      <c r="O830" s="37" t="s">
        <v>923</v>
      </c>
      <c r="P830" s="46" t="s">
        <v>128</v>
      </c>
    </row>
    <row r="831" spans="15:16" x14ac:dyDescent="0.2">
      <c r="O831" s="38" t="s">
        <v>410</v>
      </c>
      <c r="P831" s="47" t="s">
        <v>128</v>
      </c>
    </row>
    <row r="832" spans="15:16" x14ac:dyDescent="0.2">
      <c r="O832" s="37" t="s">
        <v>508</v>
      </c>
      <c r="P832" s="46" t="s">
        <v>128</v>
      </c>
    </row>
    <row r="833" spans="15:16" x14ac:dyDescent="0.2">
      <c r="O833" s="38" t="s">
        <v>552</v>
      </c>
      <c r="P833" s="47" t="s">
        <v>128</v>
      </c>
    </row>
    <row r="834" spans="15:16" x14ac:dyDescent="0.2">
      <c r="O834" s="37" t="s">
        <v>971</v>
      </c>
      <c r="P834" s="46" t="s">
        <v>128</v>
      </c>
    </row>
    <row r="835" spans="15:16" x14ac:dyDescent="0.2">
      <c r="O835" s="38" t="s">
        <v>972</v>
      </c>
      <c r="P835" s="47" t="s">
        <v>128</v>
      </c>
    </row>
    <row r="836" spans="15:16" x14ac:dyDescent="0.2">
      <c r="O836" s="37" t="s">
        <v>412</v>
      </c>
      <c r="P836" s="46" t="s">
        <v>128</v>
      </c>
    </row>
    <row r="837" spans="15:16" x14ac:dyDescent="0.2">
      <c r="O837" s="38" t="s">
        <v>770</v>
      </c>
      <c r="P837" s="47" t="s">
        <v>128</v>
      </c>
    </row>
    <row r="838" spans="15:16" x14ac:dyDescent="0.2">
      <c r="O838" s="37" t="s">
        <v>413</v>
      </c>
      <c r="P838" s="46" t="s">
        <v>128</v>
      </c>
    </row>
    <row r="839" spans="15:16" x14ac:dyDescent="0.2">
      <c r="O839" s="38" t="s">
        <v>511</v>
      </c>
      <c r="P839" s="47" t="s">
        <v>128</v>
      </c>
    </row>
    <row r="840" spans="15:16" x14ac:dyDescent="0.2">
      <c r="O840" s="37" t="s">
        <v>773</v>
      </c>
      <c r="P840" s="46" t="s">
        <v>128</v>
      </c>
    </row>
    <row r="841" spans="15:16" x14ac:dyDescent="0.2">
      <c r="O841" s="38" t="s">
        <v>973</v>
      </c>
      <c r="P841" s="47" t="s">
        <v>128</v>
      </c>
    </row>
    <row r="842" spans="15:16" x14ac:dyDescent="0.2">
      <c r="O842" s="37" t="s">
        <v>974</v>
      </c>
      <c r="P842" s="46" t="s">
        <v>128</v>
      </c>
    </row>
    <row r="843" spans="15:16" x14ac:dyDescent="0.2">
      <c r="O843" s="38" t="s">
        <v>417</v>
      </c>
      <c r="P843" s="47" t="s">
        <v>128</v>
      </c>
    </row>
    <row r="844" spans="15:16" x14ac:dyDescent="0.2">
      <c r="O844" s="37" t="s">
        <v>975</v>
      </c>
      <c r="P844" s="46" t="s">
        <v>128</v>
      </c>
    </row>
    <row r="845" spans="15:16" x14ac:dyDescent="0.2">
      <c r="O845" s="38" t="s">
        <v>976</v>
      </c>
      <c r="P845" s="47" t="s">
        <v>128</v>
      </c>
    </row>
    <row r="846" spans="15:16" x14ac:dyDescent="0.2">
      <c r="O846" s="37" t="s">
        <v>977</v>
      </c>
      <c r="P846" s="46" t="s">
        <v>128</v>
      </c>
    </row>
    <row r="847" spans="15:16" x14ac:dyDescent="0.2">
      <c r="O847" s="38" t="s">
        <v>978</v>
      </c>
      <c r="P847" s="47" t="s">
        <v>128</v>
      </c>
    </row>
    <row r="848" spans="15:16" x14ac:dyDescent="0.2">
      <c r="O848" s="37" t="s">
        <v>421</v>
      </c>
      <c r="P848" s="46" t="s">
        <v>128</v>
      </c>
    </row>
    <row r="849" spans="15:16" x14ac:dyDescent="0.2">
      <c r="O849" s="38" t="s">
        <v>979</v>
      </c>
      <c r="P849" s="47" t="s">
        <v>128</v>
      </c>
    </row>
    <row r="850" spans="15:16" x14ac:dyDescent="0.2">
      <c r="O850" s="37" t="s">
        <v>423</v>
      </c>
      <c r="P850" s="46" t="s">
        <v>128</v>
      </c>
    </row>
    <row r="851" spans="15:16" x14ac:dyDescent="0.2">
      <c r="O851" s="38" t="s">
        <v>424</v>
      </c>
      <c r="P851" s="47" t="s">
        <v>128</v>
      </c>
    </row>
    <row r="852" spans="15:16" x14ac:dyDescent="0.2">
      <c r="O852" s="37" t="s">
        <v>980</v>
      </c>
      <c r="P852" s="46" t="s">
        <v>128</v>
      </c>
    </row>
    <row r="853" spans="15:16" x14ac:dyDescent="0.2">
      <c r="O853" s="38" t="s">
        <v>781</v>
      </c>
      <c r="P853" s="47" t="s">
        <v>128</v>
      </c>
    </row>
    <row r="854" spans="15:16" x14ac:dyDescent="0.2">
      <c r="O854" s="37" t="s">
        <v>981</v>
      </c>
      <c r="P854" s="46" t="s">
        <v>128</v>
      </c>
    </row>
    <row r="855" spans="15:16" x14ac:dyDescent="0.2">
      <c r="O855" s="38" t="s">
        <v>426</v>
      </c>
      <c r="P855" s="47" t="s">
        <v>128</v>
      </c>
    </row>
    <row r="856" spans="15:16" x14ac:dyDescent="0.2">
      <c r="O856" s="37" t="s">
        <v>427</v>
      </c>
      <c r="P856" s="46" t="s">
        <v>128</v>
      </c>
    </row>
    <row r="857" spans="15:16" x14ac:dyDescent="0.2">
      <c r="O857" s="38" t="s">
        <v>982</v>
      </c>
      <c r="P857" s="47" t="s">
        <v>128</v>
      </c>
    </row>
    <row r="858" spans="15:16" x14ac:dyDescent="0.2">
      <c r="O858" s="37" t="s">
        <v>983</v>
      </c>
      <c r="P858" s="46" t="s">
        <v>128</v>
      </c>
    </row>
    <row r="859" spans="15:16" x14ac:dyDescent="0.2">
      <c r="O859" s="38" t="s">
        <v>698</v>
      </c>
      <c r="P859" s="47" t="s">
        <v>128</v>
      </c>
    </row>
    <row r="860" spans="15:16" x14ac:dyDescent="0.2">
      <c r="O860" s="37" t="s">
        <v>984</v>
      </c>
      <c r="P860" s="46" t="s">
        <v>128</v>
      </c>
    </row>
    <row r="861" spans="15:16" x14ac:dyDescent="0.2">
      <c r="O861" s="38" t="s">
        <v>985</v>
      </c>
      <c r="P861" s="47" t="s">
        <v>128</v>
      </c>
    </row>
    <row r="862" spans="15:16" x14ac:dyDescent="0.2">
      <c r="O862" s="37" t="s">
        <v>986</v>
      </c>
      <c r="P862" s="46" t="s">
        <v>128</v>
      </c>
    </row>
    <row r="863" spans="15:16" x14ac:dyDescent="0.2">
      <c r="O863" s="38" t="s">
        <v>987</v>
      </c>
      <c r="P863" s="47" t="s">
        <v>128</v>
      </c>
    </row>
    <row r="864" spans="15:16" x14ac:dyDescent="0.2">
      <c r="O864" s="37" t="s">
        <v>524</v>
      </c>
      <c r="P864" s="46" t="s">
        <v>128</v>
      </c>
    </row>
    <row r="865" spans="15:16" x14ac:dyDescent="0.2">
      <c r="O865" s="38" t="s">
        <v>988</v>
      </c>
      <c r="P865" s="47" t="s">
        <v>128</v>
      </c>
    </row>
    <row r="866" spans="15:16" x14ac:dyDescent="0.2">
      <c r="O866" s="37" t="s">
        <v>989</v>
      </c>
      <c r="P866" s="46" t="s">
        <v>128</v>
      </c>
    </row>
    <row r="867" spans="15:16" x14ac:dyDescent="0.2">
      <c r="O867" s="38" t="s">
        <v>990</v>
      </c>
      <c r="P867" s="47" t="s">
        <v>128</v>
      </c>
    </row>
    <row r="868" spans="15:16" x14ac:dyDescent="0.2">
      <c r="O868" s="37" t="s">
        <v>991</v>
      </c>
      <c r="P868" s="46" t="s">
        <v>128</v>
      </c>
    </row>
    <row r="869" spans="15:16" x14ac:dyDescent="0.2">
      <c r="O869" s="38" t="s">
        <v>530</v>
      </c>
      <c r="P869" s="47" t="s">
        <v>128</v>
      </c>
    </row>
    <row r="870" spans="15:16" x14ac:dyDescent="0.2">
      <c r="O870" s="37" t="s">
        <v>435</v>
      </c>
      <c r="P870" s="46" t="s">
        <v>128</v>
      </c>
    </row>
    <row r="871" spans="15:16" x14ac:dyDescent="0.2">
      <c r="O871" s="38" t="s">
        <v>992</v>
      </c>
      <c r="P871" s="47" t="s">
        <v>128</v>
      </c>
    </row>
    <row r="872" spans="15:16" x14ac:dyDescent="0.2">
      <c r="O872" s="37" t="s">
        <v>993</v>
      </c>
      <c r="P872" s="46" t="s">
        <v>128</v>
      </c>
    </row>
    <row r="873" spans="15:16" x14ac:dyDescent="0.2">
      <c r="O873" s="38" t="s">
        <v>994</v>
      </c>
      <c r="P873" s="47" t="s">
        <v>128</v>
      </c>
    </row>
    <row r="874" spans="15:16" x14ac:dyDescent="0.2">
      <c r="O874" s="37" t="s">
        <v>709</v>
      </c>
      <c r="P874" s="46" t="s">
        <v>128</v>
      </c>
    </row>
    <row r="875" spans="15:16" x14ac:dyDescent="0.2">
      <c r="O875" s="38" t="s">
        <v>536</v>
      </c>
      <c r="P875" s="47" t="s">
        <v>128</v>
      </c>
    </row>
    <row r="876" spans="15:16" x14ac:dyDescent="0.2">
      <c r="O876" s="37" t="s">
        <v>537</v>
      </c>
      <c r="P876" s="46" t="s">
        <v>128</v>
      </c>
    </row>
    <row r="877" spans="15:16" x14ac:dyDescent="0.2">
      <c r="O877" s="38" t="s">
        <v>995</v>
      </c>
      <c r="P877" s="47" t="s">
        <v>128</v>
      </c>
    </row>
    <row r="878" spans="15:16" x14ac:dyDescent="0.2">
      <c r="O878" s="37" t="s">
        <v>813</v>
      </c>
      <c r="P878" s="46" t="s">
        <v>128</v>
      </c>
    </row>
    <row r="879" spans="15:16" x14ac:dyDescent="0.2">
      <c r="O879" s="38" t="s">
        <v>441</v>
      </c>
      <c r="P879" s="47" t="s">
        <v>128</v>
      </c>
    </row>
    <row r="880" spans="15:16" x14ac:dyDescent="0.2">
      <c r="O880" s="37" t="s">
        <v>814</v>
      </c>
      <c r="P880" s="46" t="s">
        <v>128</v>
      </c>
    </row>
    <row r="881" spans="15:16" x14ac:dyDescent="0.2">
      <c r="O881" s="38" t="s">
        <v>815</v>
      </c>
      <c r="P881" s="47" t="s">
        <v>128</v>
      </c>
    </row>
    <row r="882" spans="15:16" x14ac:dyDescent="0.2">
      <c r="O882" s="37" t="s">
        <v>911</v>
      </c>
      <c r="P882" s="46" t="s">
        <v>128</v>
      </c>
    </row>
    <row r="883" spans="15:16" x14ac:dyDescent="0.2">
      <c r="O883" s="38" t="s">
        <v>996</v>
      </c>
      <c r="P883" s="47" t="s">
        <v>128</v>
      </c>
    </row>
    <row r="884" spans="15:16" x14ac:dyDescent="0.2">
      <c r="O884" s="37" t="s">
        <v>997</v>
      </c>
      <c r="P884" s="46" t="s">
        <v>128</v>
      </c>
    </row>
    <row r="885" spans="15:16" x14ac:dyDescent="0.2">
      <c r="O885" s="38" t="s">
        <v>820</v>
      </c>
      <c r="P885" s="47" t="s">
        <v>128</v>
      </c>
    </row>
    <row r="886" spans="15:16" x14ac:dyDescent="0.2">
      <c r="O886" s="37" t="s">
        <v>998</v>
      </c>
      <c r="P886" s="46" t="s">
        <v>128</v>
      </c>
    </row>
    <row r="887" spans="15:16" x14ac:dyDescent="0.2">
      <c r="O887" s="38" t="s">
        <v>913</v>
      </c>
      <c r="P887" s="47" t="s">
        <v>127</v>
      </c>
    </row>
    <row r="888" spans="15:16" x14ac:dyDescent="0.2">
      <c r="O888" s="37" t="s">
        <v>999</v>
      </c>
      <c r="P888" s="46" t="s">
        <v>127</v>
      </c>
    </row>
    <row r="889" spans="15:16" x14ac:dyDescent="0.2">
      <c r="O889" s="38" t="s">
        <v>1000</v>
      </c>
      <c r="P889" s="47" t="s">
        <v>127</v>
      </c>
    </row>
    <row r="890" spans="15:16" x14ac:dyDescent="0.2">
      <c r="O890" s="37" t="s">
        <v>1001</v>
      </c>
      <c r="P890" s="46" t="s">
        <v>127</v>
      </c>
    </row>
    <row r="891" spans="15:16" x14ac:dyDescent="0.2">
      <c r="O891" s="38" t="s">
        <v>1002</v>
      </c>
      <c r="P891" s="47" t="s">
        <v>127</v>
      </c>
    </row>
    <row r="892" spans="15:16" x14ac:dyDescent="0.2">
      <c r="O892" s="37" t="s">
        <v>1003</v>
      </c>
      <c r="P892" s="46" t="s">
        <v>127</v>
      </c>
    </row>
    <row r="893" spans="15:16" x14ac:dyDescent="0.2">
      <c r="O893" s="38" t="s">
        <v>861</v>
      </c>
      <c r="P893" s="47" t="s">
        <v>127</v>
      </c>
    </row>
    <row r="894" spans="15:16" x14ac:dyDescent="0.2">
      <c r="O894" s="37" t="s">
        <v>383</v>
      </c>
      <c r="P894" s="46" t="s">
        <v>127</v>
      </c>
    </row>
    <row r="895" spans="15:16" x14ac:dyDescent="0.2">
      <c r="O895" s="38" t="s">
        <v>1004</v>
      </c>
      <c r="P895" s="47" t="s">
        <v>127</v>
      </c>
    </row>
    <row r="896" spans="15:16" x14ac:dyDescent="0.2">
      <c r="O896" s="37" t="s">
        <v>1005</v>
      </c>
      <c r="P896" s="46" t="s">
        <v>127</v>
      </c>
    </row>
    <row r="897" spans="15:16" x14ac:dyDescent="0.2">
      <c r="O897" s="38" t="s">
        <v>386</v>
      </c>
      <c r="P897" s="47" t="s">
        <v>127</v>
      </c>
    </row>
    <row r="898" spans="15:16" x14ac:dyDescent="0.2">
      <c r="O898" s="37" t="s">
        <v>605</v>
      </c>
      <c r="P898" s="46" t="s">
        <v>127</v>
      </c>
    </row>
    <row r="899" spans="15:16" x14ac:dyDescent="0.2">
      <c r="O899" s="38" t="s">
        <v>492</v>
      </c>
      <c r="P899" s="47" t="s">
        <v>127</v>
      </c>
    </row>
    <row r="900" spans="15:16" x14ac:dyDescent="0.2">
      <c r="O900" s="37" t="s">
        <v>390</v>
      </c>
      <c r="P900" s="46" t="s">
        <v>127</v>
      </c>
    </row>
    <row r="901" spans="15:16" x14ac:dyDescent="0.2">
      <c r="O901" s="38" t="s">
        <v>1006</v>
      </c>
      <c r="P901" s="47" t="s">
        <v>127</v>
      </c>
    </row>
    <row r="902" spans="15:16" x14ac:dyDescent="0.2">
      <c r="O902" s="37" t="s">
        <v>1007</v>
      </c>
      <c r="P902" s="46" t="s">
        <v>127</v>
      </c>
    </row>
    <row r="903" spans="15:16" x14ac:dyDescent="0.2">
      <c r="O903" s="38" t="s">
        <v>1008</v>
      </c>
      <c r="P903" s="47" t="s">
        <v>127</v>
      </c>
    </row>
    <row r="904" spans="15:16" x14ac:dyDescent="0.2">
      <c r="O904" s="37" t="s">
        <v>1009</v>
      </c>
      <c r="P904" s="46" t="s">
        <v>127</v>
      </c>
    </row>
    <row r="905" spans="15:16" x14ac:dyDescent="0.2">
      <c r="O905" s="38" t="s">
        <v>497</v>
      </c>
      <c r="P905" s="47" t="s">
        <v>127</v>
      </c>
    </row>
    <row r="906" spans="15:16" x14ac:dyDescent="0.2">
      <c r="O906" s="37" t="s">
        <v>743</v>
      </c>
      <c r="P906" s="46" t="s">
        <v>127</v>
      </c>
    </row>
    <row r="907" spans="15:16" x14ac:dyDescent="0.2">
      <c r="O907" s="38" t="s">
        <v>967</v>
      </c>
      <c r="P907" s="47" t="s">
        <v>127</v>
      </c>
    </row>
    <row r="908" spans="15:16" x14ac:dyDescent="0.2">
      <c r="O908" s="37" t="s">
        <v>1010</v>
      </c>
      <c r="P908" s="46" t="s">
        <v>127</v>
      </c>
    </row>
    <row r="909" spans="15:16" x14ac:dyDescent="0.2">
      <c r="O909" s="38" t="s">
        <v>614</v>
      </c>
      <c r="P909" s="47" t="s">
        <v>127</v>
      </c>
    </row>
    <row r="910" spans="15:16" x14ac:dyDescent="0.2">
      <c r="O910" s="37" t="s">
        <v>872</v>
      </c>
      <c r="P910" s="46" t="s">
        <v>127</v>
      </c>
    </row>
    <row r="911" spans="15:16" x14ac:dyDescent="0.2">
      <c r="O911" s="38" t="s">
        <v>1011</v>
      </c>
      <c r="P911" s="47" t="s">
        <v>127</v>
      </c>
    </row>
    <row r="912" spans="15:16" x14ac:dyDescent="0.2">
      <c r="O912" s="37" t="s">
        <v>1012</v>
      </c>
      <c r="P912" s="46" t="s">
        <v>127</v>
      </c>
    </row>
    <row r="913" spans="15:16" x14ac:dyDescent="0.2">
      <c r="O913" s="38" t="s">
        <v>1013</v>
      </c>
      <c r="P913" s="47" t="s">
        <v>127</v>
      </c>
    </row>
    <row r="914" spans="15:16" x14ac:dyDescent="0.2">
      <c r="O914" s="37" t="s">
        <v>1014</v>
      </c>
      <c r="P914" s="46" t="s">
        <v>127</v>
      </c>
    </row>
    <row r="915" spans="15:16" x14ac:dyDescent="0.2">
      <c r="O915" s="38" t="s">
        <v>873</v>
      </c>
      <c r="P915" s="47" t="s">
        <v>127</v>
      </c>
    </row>
    <row r="916" spans="15:16" x14ac:dyDescent="0.2">
      <c r="O916" s="37" t="s">
        <v>406</v>
      </c>
      <c r="P916" s="46" t="s">
        <v>127</v>
      </c>
    </row>
    <row r="917" spans="15:16" x14ac:dyDescent="0.2">
      <c r="O917" s="38" t="s">
        <v>1015</v>
      </c>
      <c r="P917" s="47" t="s">
        <v>127</v>
      </c>
    </row>
    <row r="918" spans="15:16" x14ac:dyDescent="0.2">
      <c r="O918" s="37" t="s">
        <v>1016</v>
      </c>
      <c r="P918" s="46" t="s">
        <v>127</v>
      </c>
    </row>
    <row r="919" spans="15:16" x14ac:dyDescent="0.2">
      <c r="O919" s="38" t="s">
        <v>473</v>
      </c>
      <c r="P919" s="47" t="s">
        <v>127</v>
      </c>
    </row>
    <row r="920" spans="15:16" x14ac:dyDescent="0.2">
      <c r="O920" s="37" t="s">
        <v>505</v>
      </c>
      <c r="P920" s="46" t="s">
        <v>127</v>
      </c>
    </row>
    <row r="921" spans="15:16" x14ac:dyDescent="0.2">
      <c r="O921" s="38" t="s">
        <v>1017</v>
      </c>
      <c r="P921" s="47" t="s">
        <v>127</v>
      </c>
    </row>
    <row r="922" spans="15:16" x14ac:dyDescent="0.2">
      <c r="O922" s="37" t="s">
        <v>1018</v>
      </c>
      <c r="P922" s="46" t="s">
        <v>127</v>
      </c>
    </row>
    <row r="923" spans="15:16" x14ac:dyDescent="0.2">
      <c r="O923" s="38" t="s">
        <v>1019</v>
      </c>
      <c r="P923" s="47" t="s">
        <v>127</v>
      </c>
    </row>
    <row r="924" spans="15:16" x14ac:dyDescent="0.2">
      <c r="O924" s="37" t="s">
        <v>682</v>
      </c>
      <c r="P924" s="46" t="s">
        <v>127</v>
      </c>
    </row>
    <row r="925" spans="15:16" x14ac:dyDescent="0.2">
      <c r="O925" s="38" t="s">
        <v>1020</v>
      </c>
      <c r="P925" s="47" t="s">
        <v>127</v>
      </c>
    </row>
    <row r="926" spans="15:16" x14ac:dyDescent="0.2">
      <c r="O926" s="37" t="s">
        <v>1021</v>
      </c>
      <c r="P926" s="46" t="s">
        <v>127</v>
      </c>
    </row>
    <row r="927" spans="15:16" x14ac:dyDescent="0.2">
      <c r="O927" s="38" t="s">
        <v>1022</v>
      </c>
      <c r="P927" s="47" t="s">
        <v>127</v>
      </c>
    </row>
    <row r="928" spans="15:16" x14ac:dyDescent="0.2">
      <c r="O928" s="37" t="s">
        <v>1023</v>
      </c>
      <c r="P928" s="46" t="s">
        <v>127</v>
      </c>
    </row>
    <row r="929" spans="15:16" x14ac:dyDescent="0.2">
      <c r="O929" s="38" t="s">
        <v>412</v>
      </c>
      <c r="P929" s="47" t="s">
        <v>127</v>
      </c>
    </row>
    <row r="930" spans="15:16" x14ac:dyDescent="0.2">
      <c r="O930" s="37" t="s">
        <v>413</v>
      </c>
      <c r="P930" s="46" t="s">
        <v>127</v>
      </c>
    </row>
    <row r="931" spans="15:16" x14ac:dyDescent="0.2">
      <c r="O931" s="38" t="s">
        <v>1024</v>
      </c>
      <c r="P931" s="47" t="s">
        <v>127</v>
      </c>
    </row>
    <row r="932" spans="15:16" x14ac:dyDescent="0.2">
      <c r="O932" s="37" t="s">
        <v>511</v>
      </c>
      <c r="P932" s="46" t="s">
        <v>127</v>
      </c>
    </row>
    <row r="933" spans="15:16" x14ac:dyDescent="0.2">
      <c r="O933" s="38" t="s">
        <v>1025</v>
      </c>
      <c r="P933" s="47" t="s">
        <v>127</v>
      </c>
    </row>
    <row r="934" spans="15:16" x14ac:dyDescent="0.2">
      <c r="O934" s="37" t="s">
        <v>1026</v>
      </c>
      <c r="P934" s="46" t="s">
        <v>127</v>
      </c>
    </row>
    <row r="935" spans="15:16" x14ac:dyDescent="0.2">
      <c r="O935" s="38" t="s">
        <v>625</v>
      </c>
      <c r="P935" s="47" t="s">
        <v>127</v>
      </c>
    </row>
    <row r="936" spans="15:16" x14ac:dyDescent="0.2">
      <c r="O936" s="37" t="s">
        <v>1027</v>
      </c>
      <c r="P936" s="46" t="s">
        <v>127</v>
      </c>
    </row>
    <row r="937" spans="15:16" x14ac:dyDescent="0.2">
      <c r="O937" s="38" t="s">
        <v>1028</v>
      </c>
      <c r="P937" s="47" t="s">
        <v>127</v>
      </c>
    </row>
    <row r="938" spans="15:16" x14ac:dyDescent="0.2">
      <c r="O938" s="37" t="s">
        <v>1029</v>
      </c>
      <c r="P938" s="46" t="s">
        <v>127</v>
      </c>
    </row>
    <row r="939" spans="15:16" x14ac:dyDescent="0.2">
      <c r="O939" s="38" t="s">
        <v>513</v>
      </c>
      <c r="P939" s="47" t="s">
        <v>127</v>
      </c>
    </row>
    <row r="940" spans="15:16" x14ac:dyDescent="0.2">
      <c r="O940" s="37" t="s">
        <v>975</v>
      </c>
      <c r="P940" s="46" t="s">
        <v>127</v>
      </c>
    </row>
    <row r="941" spans="15:16" x14ac:dyDescent="0.2">
      <c r="O941" s="38" t="s">
        <v>515</v>
      </c>
      <c r="P941" s="47" t="s">
        <v>127</v>
      </c>
    </row>
    <row r="942" spans="15:16" x14ac:dyDescent="0.2">
      <c r="O942" s="37" t="s">
        <v>978</v>
      </c>
      <c r="P942" s="46" t="s">
        <v>127</v>
      </c>
    </row>
    <row r="943" spans="15:16" x14ac:dyDescent="0.2">
      <c r="O943" s="38" t="s">
        <v>1030</v>
      </c>
      <c r="P943" s="47" t="s">
        <v>127</v>
      </c>
    </row>
    <row r="944" spans="15:16" x14ac:dyDescent="0.2">
      <c r="O944" s="37" t="s">
        <v>423</v>
      </c>
      <c r="P944" s="46" t="s">
        <v>127</v>
      </c>
    </row>
    <row r="945" spans="15:16" x14ac:dyDescent="0.2">
      <c r="O945" s="38" t="s">
        <v>424</v>
      </c>
      <c r="P945" s="47" t="s">
        <v>127</v>
      </c>
    </row>
    <row r="946" spans="15:16" x14ac:dyDescent="0.2">
      <c r="O946" s="37" t="s">
        <v>1031</v>
      </c>
      <c r="P946" s="46" t="s">
        <v>127</v>
      </c>
    </row>
    <row r="947" spans="15:16" x14ac:dyDescent="0.2">
      <c r="O947" s="38" t="s">
        <v>931</v>
      </c>
      <c r="P947" s="47" t="s">
        <v>127</v>
      </c>
    </row>
    <row r="948" spans="15:16" x14ac:dyDescent="0.2">
      <c r="O948" s="37" t="s">
        <v>781</v>
      </c>
      <c r="P948" s="46" t="s">
        <v>127</v>
      </c>
    </row>
    <row r="949" spans="15:16" x14ac:dyDescent="0.2">
      <c r="O949" s="38" t="s">
        <v>427</v>
      </c>
      <c r="P949" s="47" t="s">
        <v>127</v>
      </c>
    </row>
    <row r="950" spans="15:16" x14ac:dyDescent="0.2">
      <c r="O950" s="37" t="s">
        <v>1032</v>
      </c>
      <c r="P950" s="46" t="s">
        <v>127</v>
      </c>
    </row>
    <row r="951" spans="15:16" x14ac:dyDescent="0.2">
      <c r="O951" s="38" t="s">
        <v>1033</v>
      </c>
      <c r="P951" s="47" t="s">
        <v>127</v>
      </c>
    </row>
    <row r="952" spans="15:16" x14ac:dyDescent="0.2">
      <c r="O952" s="37" t="s">
        <v>1034</v>
      </c>
      <c r="P952" s="46" t="s">
        <v>127</v>
      </c>
    </row>
    <row r="953" spans="15:16" x14ac:dyDescent="0.2">
      <c r="O953" s="38" t="s">
        <v>1035</v>
      </c>
      <c r="P953" s="47" t="s">
        <v>127</v>
      </c>
    </row>
    <row r="954" spans="15:16" x14ac:dyDescent="0.2">
      <c r="O954" s="37" t="s">
        <v>1036</v>
      </c>
      <c r="P954" s="46" t="s">
        <v>127</v>
      </c>
    </row>
    <row r="955" spans="15:16" x14ac:dyDescent="0.2">
      <c r="O955" s="38" t="s">
        <v>1037</v>
      </c>
      <c r="P955" s="47" t="s">
        <v>127</v>
      </c>
    </row>
    <row r="956" spans="15:16" x14ac:dyDescent="0.2">
      <c r="O956" s="37" t="s">
        <v>1038</v>
      </c>
      <c r="P956" s="46" t="s">
        <v>127</v>
      </c>
    </row>
    <row r="957" spans="15:16" x14ac:dyDescent="0.2">
      <c r="O957" s="38" t="s">
        <v>1039</v>
      </c>
      <c r="P957" s="47" t="s">
        <v>127</v>
      </c>
    </row>
    <row r="958" spans="15:16" x14ac:dyDescent="0.2">
      <c r="O958" s="37" t="s">
        <v>1040</v>
      </c>
      <c r="P958" s="46" t="s">
        <v>127</v>
      </c>
    </row>
    <row r="959" spans="15:16" x14ac:dyDescent="0.2">
      <c r="O959" s="38" t="s">
        <v>1041</v>
      </c>
      <c r="P959" s="47" t="s">
        <v>127</v>
      </c>
    </row>
    <row r="960" spans="15:16" x14ac:dyDescent="0.2">
      <c r="O960" s="37" t="s">
        <v>522</v>
      </c>
      <c r="P960" s="46" t="s">
        <v>127</v>
      </c>
    </row>
    <row r="961" spans="15:16" x14ac:dyDescent="0.2">
      <c r="O961" s="38" t="s">
        <v>1042</v>
      </c>
      <c r="P961" s="47" t="s">
        <v>127</v>
      </c>
    </row>
    <row r="962" spans="15:16" x14ac:dyDescent="0.2">
      <c r="O962" s="37" t="s">
        <v>1043</v>
      </c>
      <c r="P962" s="46" t="s">
        <v>127</v>
      </c>
    </row>
    <row r="963" spans="15:16" x14ac:dyDescent="0.2">
      <c r="O963" s="38" t="s">
        <v>1044</v>
      </c>
      <c r="P963" s="47" t="s">
        <v>127</v>
      </c>
    </row>
    <row r="964" spans="15:16" x14ac:dyDescent="0.2">
      <c r="O964" s="37" t="s">
        <v>1045</v>
      </c>
      <c r="P964" s="46" t="s">
        <v>127</v>
      </c>
    </row>
    <row r="965" spans="15:16" x14ac:dyDescent="0.2">
      <c r="O965" s="38" t="s">
        <v>1046</v>
      </c>
      <c r="P965" s="47" t="s">
        <v>127</v>
      </c>
    </row>
    <row r="966" spans="15:16" x14ac:dyDescent="0.2">
      <c r="O966" s="37" t="s">
        <v>1047</v>
      </c>
      <c r="P966" s="46" t="s">
        <v>127</v>
      </c>
    </row>
    <row r="967" spans="15:16" x14ac:dyDescent="0.2">
      <c r="O967" s="38" t="s">
        <v>1048</v>
      </c>
      <c r="P967" s="47" t="s">
        <v>127</v>
      </c>
    </row>
    <row r="968" spans="15:16" x14ac:dyDescent="0.2">
      <c r="O968" s="37" t="s">
        <v>1049</v>
      </c>
      <c r="P968" s="46" t="s">
        <v>127</v>
      </c>
    </row>
    <row r="969" spans="15:16" x14ac:dyDescent="0.2">
      <c r="O969" s="38" t="s">
        <v>939</v>
      </c>
      <c r="P969" s="47" t="s">
        <v>127</v>
      </c>
    </row>
    <row r="970" spans="15:16" x14ac:dyDescent="0.2">
      <c r="O970" s="37" t="s">
        <v>433</v>
      </c>
      <c r="P970" s="46" t="s">
        <v>127</v>
      </c>
    </row>
    <row r="971" spans="15:16" x14ac:dyDescent="0.2">
      <c r="O971" s="38" t="s">
        <v>529</v>
      </c>
      <c r="P971" s="47" t="s">
        <v>127</v>
      </c>
    </row>
    <row r="972" spans="15:16" x14ac:dyDescent="0.2">
      <c r="O972" s="37" t="s">
        <v>530</v>
      </c>
      <c r="P972" s="46" t="s">
        <v>127</v>
      </c>
    </row>
    <row r="973" spans="15:16" x14ac:dyDescent="0.2">
      <c r="O973" s="38" t="s">
        <v>647</v>
      </c>
      <c r="P973" s="47" t="s">
        <v>127</v>
      </c>
    </row>
    <row r="974" spans="15:16" x14ac:dyDescent="0.2">
      <c r="O974" s="37" t="s">
        <v>1050</v>
      </c>
      <c r="P974" s="46" t="s">
        <v>127</v>
      </c>
    </row>
    <row r="975" spans="15:16" x14ac:dyDescent="0.2">
      <c r="O975" s="38" t="s">
        <v>1051</v>
      </c>
      <c r="P975" s="47" t="s">
        <v>127</v>
      </c>
    </row>
    <row r="976" spans="15:16" x14ac:dyDescent="0.2">
      <c r="O976" s="37" t="s">
        <v>1052</v>
      </c>
      <c r="P976" s="46" t="s">
        <v>127</v>
      </c>
    </row>
    <row r="977" spans="15:16" x14ac:dyDescent="0.2">
      <c r="O977" s="38" t="s">
        <v>1053</v>
      </c>
      <c r="P977" s="47" t="s">
        <v>127</v>
      </c>
    </row>
    <row r="978" spans="15:16" x14ac:dyDescent="0.2">
      <c r="O978" s="37" t="s">
        <v>1054</v>
      </c>
      <c r="P978" s="46" t="s">
        <v>127</v>
      </c>
    </row>
    <row r="979" spans="15:16" x14ac:dyDescent="0.2">
      <c r="O979" s="38" t="s">
        <v>1055</v>
      </c>
      <c r="P979" s="47" t="s">
        <v>127</v>
      </c>
    </row>
    <row r="980" spans="15:16" x14ac:dyDescent="0.2">
      <c r="O980" s="37" t="s">
        <v>1056</v>
      </c>
      <c r="P980" s="46" t="s">
        <v>127</v>
      </c>
    </row>
    <row r="981" spans="15:16" x14ac:dyDescent="0.2">
      <c r="O981" s="38" t="s">
        <v>1057</v>
      </c>
      <c r="P981" s="47" t="s">
        <v>127</v>
      </c>
    </row>
    <row r="982" spans="15:16" x14ac:dyDescent="0.2">
      <c r="O982" s="37" t="s">
        <v>1058</v>
      </c>
      <c r="P982" s="46" t="s">
        <v>127</v>
      </c>
    </row>
    <row r="983" spans="15:16" x14ac:dyDescent="0.2">
      <c r="O983" s="38" t="s">
        <v>803</v>
      </c>
      <c r="P983" s="47" t="s">
        <v>127</v>
      </c>
    </row>
    <row r="984" spans="15:16" x14ac:dyDescent="0.2">
      <c r="O984" s="37" t="s">
        <v>1059</v>
      </c>
      <c r="P984" s="46" t="s">
        <v>127</v>
      </c>
    </row>
    <row r="985" spans="15:16" x14ac:dyDescent="0.2">
      <c r="O985" s="38" t="s">
        <v>1060</v>
      </c>
      <c r="P985" s="47" t="s">
        <v>127</v>
      </c>
    </row>
    <row r="986" spans="15:16" x14ac:dyDescent="0.2">
      <c r="O986" s="37" t="s">
        <v>1061</v>
      </c>
      <c r="P986" s="46" t="s">
        <v>127</v>
      </c>
    </row>
    <row r="987" spans="15:16" x14ac:dyDescent="0.2">
      <c r="O987" s="38" t="s">
        <v>441</v>
      </c>
      <c r="P987" s="47" t="s">
        <v>127</v>
      </c>
    </row>
    <row r="988" spans="15:16" x14ac:dyDescent="0.2">
      <c r="O988" s="37" t="s">
        <v>1062</v>
      </c>
      <c r="P988" s="46" t="s">
        <v>127</v>
      </c>
    </row>
    <row r="989" spans="15:16" x14ac:dyDescent="0.2">
      <c r="O989" s="38" t="s">
        <v>1063</v>
      </c>
      <c r="P989" s="47" t="s">
        <v>127</v>
      </c>
    </row>
    <row r="990" spans="15:16" x14ac:dyDescent="0.2">
      <c r="O990" s="37" t="s">
        <v>1064</v>
      </c>
      <c r="P990" s="46" t="s">
        <v>127</v>
      </c>
    </row>
    <row r="991" spans="15:16" x14ac:dyDescent="0.2">
      <c r="O991" s="38" t="s">
        <v>1065</v>
      </c>
      <c r="P991" s="47" t="s">
        <v>127</v>
      </c>
    </row>
    <row r="992" spans="15:16" x14ac:dyDescent="0.2">
      <c r="O992" s="37" t="s">
        <v>954</v>
      </c>
      <c r="P992" s="46" t="s">
        <v>126</v>
      </c>
    </row>
    <row r="993" spans="15:16" x14ac:dyDescent="0.2">
      <c r="O993" s="38" t="s">
        <v>913</v>
      </c>
      <c r="P993" s="47" t="s">
        <v>126</v>
      </c>
    </row>
    <row r="994" spans="15:16" x14ac:dyDescent="0.2">
      <c r="O994" s="37" t="s">
        <v>999</v>
      </c>
      <c r="P994" s="46" t="s">
        <v>126</v>
      </c>
    </row>
    <row r="995" spans="15:16" x14ac:dyDescent="0.2">
      <c r="O995" s="38" t="s">
        <v>1066</v>
      </c>
      <c r="P995" s="47" t="s">
        <v>126</v>
      </c>
    </row>
    <row r="996" spans="15:16" x14ac:dyDescent="0.2">
      <c r="O996" s="37" t="s">
        <v>1067</v>
      </c>
      <c r="P996" s="46" t="s">
        <v>126</v>
      </c>
    </row>
    <row r="997" spans="15:16" x14ac:dyDescent="0.2">
      <c r="O997" s="38" t="s">
        <v>1068</v>
      </c>
      <c r="P997" s="47" t="s">
        <v>126</v>
      </c>
    </row>
    <row r="998" spans="15:16" x14ac:dyDescent="0.2">
      <c r="O998" s="37" t="s">
        <v>1069</v>
      </c>
      <c r="P998" s="46" t="s">
        <v>126</v>
      </c>
    </row>
    <row r="999" spans="15:16" x14ac:dyDescent="0.2">
      <c r="O999" s="38" t="s">
        <v>488</v>
      </c>
      <c r="P999" s="47" t="s">
        <v>126</v>
      </c>
    </row>
    <row r="1000" spans="15:16" x14ac:dyDescent="0.2">
      <c r="O1000" s="37" t="s">
        <v>1003</v>
      </c>
      <c r="P1000" s="46" t="s">
        <v>126</v>
      </c>
    </row>
    <row r="1001" spans="15:16" x14ac:dyDescent="0.2">
      <c r="O1001" s="38" t="s">
        <v>1070</v>
      </c>
      <c r="P1001" s="47" t="s">
        <v>126</v>
      </c>
    </row>
    <row r="1002" spans="15:16" x14ac:dyDescent="0.2">
      <c r="O1002" s="37" t="s">
        <v>1071</v>
      </c>
      <c r="P1002" s="46" t="s">
        <v>126</v>
      </c>
    </row>
    <row r="1003" spans="15:16" x14ac:dyDescent="0.2">
      <c r="O1003" s="38" t="s">
        <v>1072</v>
      </c>
      <c r="P1003" s="47" t="s">
        <v>126</v>
      </c>
    </row>
    <row r="1004" spans="15:16" x14ac:dyDescent="0.2">
      <c r="O1004" s="37" t="s">
        <v>1073</v>
      </c>
      <c r="P1004" s="46" t="s">
        <v>126</v>
      </c>
    </row>
    <row r="1005" spans="15:16" x14ac:dyDescent="0.2">
      <c r="O1005" s="38" t="s">
        <v>1074</v>
      </c>
      <c r="P1005" s="47" t="s">
        <v>126</v>
      </c>
    </row>
    <row r="1006" spans="15:16" x14ac:dyDescent="0.2">
      <c r="O1006" s="37" t="s">
        <v>1075</v>
      </c>
      <c r="P1006" s="46" t="s">
        <v>126</v>
      </c>
    </row>
    <row r="1007" spans="15:16" x14ac:dyDescent="0.2">
      <c r="O1007" s="38" t="s">
        <v>383</v>
      </c>
      <c r="P1007" s="47" t="s">
        <v>126</v>
      </c>
    </row>
    <row r="1008" spans="15:16" x14ac:dyDescent="0.2">
      <c r="O1008" s="37" t="s">
        <v>1076</v>
      </c>
      <c r="P1008" s="46" t="s">
        <v>126</v>
      </c>
    </row>
    <row r="1009" spans="15:16" x14ac:dyDescent="0.2">
      <c r="O1009" s="38" t="s">
        <v>1077</v>
      </c>
      <c r="P1009" s="47" t="s">
        <v>126</v>
      </c>
    </row>
    <row r="1010" spans="15:16" x14ac:dyDescent="0.2">
      <c r="O1010" s="37" t="s">
        <v>1078</v>
      </c>
      <c r="P1010" s="46" t="s">
        <v>126</v>
      </c>
    </row>
    <row r="1011" spans="15:16" x14ac:dyDescent="0.2">
      <c r="O1011" s="38" t="s">
        <v>1079</v>
      </c>
      <c r="P1011" s="47" t="s">
        <v>126</v>
      </c>
    </row>
    <row r="1012" spans="15:16" x14ac:dyDescent="0.2">
      <c r="O1012" s="37" t="s">
        <v>490</v>
      </c>
      <c r="P1012" s="46" t="s">
        <v>126</v>
      </c>
    </row>
    <row r="1013" spans="15:16" x14ac:dyDescent="0.2">
      <c r="O1013" s="38" t="s">
        <v>1080</v>
      </c>
      <c r="P1013" s="47" t="s">
        <v>126</v>
      </c>
    </row>
    <row r="1014" spans="15:16" x14ac:dyDescent="0.2">
      <c r="O1014" s="37" t="s">
        <v>1081</v>
      </c>
      <c r="P1014" s="46" t="s">
        <v>126</v>
      </c>
    </row>
    <row r="1015" spans="15:16" x14ac:dyDescent="0.2">
      <c r="O1015" s="38" t="s">
        <v>865</v>
      </c>
      <c r="P1015" s="47" t="s">
        <v>126</v>
      </c>
    </row>
    <row r="1016" spans="15:16" x14ac:dyDescent="0.2">
      <c r="O1016" s="37" t="s">
        <v>492</v>
      </c>
      <c r="P1016" s="46" t="s">
        <v>126</v>
      </c>
    </row>
    <row r="1017" spans="15:16" x14ac:dyDescent="0.2">
      <c r="O1017" s="38" t="s">
        <v>390</v>
      </c>
      <c r="P1017" s="47" t="s">
        <v>126</v>
      </c>
    </row>
    <row r="1018" spans="15:16" x14ac:dyDescent="0.2">
      <c r="O1018" s="37" t="s">
        <v>866</v>
      </c>
      <c r="P1018" s="46" t="s">
        <v>126</v>
      </c>
    </row>
    <row r="1019" spans="15:16" x14ac:dyDescent="0.2">
      <c r="O1019" s="38" t="s">
        <v>498</v>
      </c>
      <c r="P1019" s="47" t="s">
        <v>126</v>
      </c>
    </row>
    <row r="1020" spans="15:16" x14ac:dyDescent="0.2">
      <c r="O1020" s="37" t="s">
        <v>868</v>
      </c>
      <c r="P1020" s="46" t="s">
        <v>126</v>
      </c>
    </row>
    <row r="1021" spans="15:16" x14ac:dyDescent="0.2">
      <c r="O1021" s="38" t="s">
        <v>916</v>
      </c>
      <c r="P1021" s="47" t="s">
        <v>126</v>
      </c>
    </row>
    <row r="1022" spans="15:16" x14ac:dyDescent="0.2">
      <c r="O1022" s="37" t="s">
        <v>1082</v>
      </c>
      <c r="P1022" s="46" t="s">
        <v>126</v>
      </c>
    </row>
    <row r="1023" spans="15:16" x14ac:dyDescent="0.2">
      <c r="O1023" s="38" t="s">
        <v>1083</v>
      </c>
      <c r="P1023" s="47" t="s">
        <v>126</v>
      </c>
    </row>
    <row r="1024" spans="15:16" x14ac:dyDescent="0.2">
      <c r="O1024" s="37" t="s">
        <v>1084</v>
      </c>
      <c r="P1024" s="46" t="s">
        <v>126</v>
      </c>
    </row>
    <row r="1025" spans="15:16" x14ac:dyDescent="0.2">
      <c r="O1025" s="38" t="s">
        <v>405</v>
      </c>
      <c r="P1025" s="47" t="s">
        <v>126</v>
      </c>
    </row>
    <row r="1026" spans="15:16" x14ac:dyDescent="0.2">
      <c r="O1026" s="37" t="s">
        <v>1085</v>
      </c>
      <c r="P1026" s="46" t="s">
        <v>126</v>
      </c>
    </row>
    <row r="1027" spans="15:16" x14ac:dyDescent="0.2">
      <c r="O1027" s="38" t="s">
        <v>754</v>
      </c>
      <c r="P1027" s="47" t="s">
        <v>126</v>
      </c>
    </row>
    <row r="1028" spans="15:16" x14ac:dyDescent="0.2">
      <c r="O1028" s="37" t="s">
        <v>406</v>
      </c>
      <c r="P1028" s="46" t="s">
        <v>126</v>
      </c>
    </row>
    <row r="1029" spans="15:16" x14ac:dyDescent="0.2">
      <c r="O1029" s="38" t="s">
        <v>503</v>
      </c>
      <c r="P1029" s="47" t="s">
        <v>126</v>
      </c>
    </row>
    <row r="1030" spans="15:16" x14ac:dyDescent="0.2">
      <c r="O1030" s="37" t="s">
        <v>874</v>
      </c>
      <c r="P1030" s="46" t="s">
        <v>126</v>
      </c>
    </row>
    <row r="1031" spans="15:16" x14ac:dyDescent="0.2">
      <c r="O1031" s="38" t="s">
        <v>1086</v>
      </c>
      <c r="P1031" s="47" t="s">
        <v>126</v>
      </c>
    </row>
    <row r="1032" spans="15:16" x14ac:dyDescent="0.2">
      <c r="O1032" s="37" t="s">
        <v>505</v>
      </c>
      <c r="P1032" s="46" t="s">
        <v>126</v>
      </c>
    </row>
    <row r="1033" spans="15:16" x14ac:dyDescent="0.2">
      <c r="O1033" s="38" t="s">
        <v>1087</v>
      </c>
      <c r="P1033" s="47" t="s">
        <v>126</v>
      </c>
    </row>
    <row r="1034" spans="15:16" x14ac:dyDescent="0.2">
      <c r="O1034" s="37" t="s">
        <v>1088</v>
      </c>
      <c r="P1034" s="46" t="s">
        <v>126</v>
      </c>
    </row>
    <row r="1035" spans="15:16" x14ac:dyDescent="0.2">
      <c r="O1035" s="38" t="s">
        <v>1089</v>
      </c>
      <c r="P1035" s="47" t="s">
        <v>126</v>
      </c>
    </row>
    <row r="1036" spans="15:16" x14ac:dyDescent="0.2">
      <c r="O1036" s="37" t="s">
        <v>1090</v>
      </c>
      <c r="P1036" s="46" t="s">
        <v>126</v>
      </c>
    </row>
    <row r="1037" spans="15:16" x14ac:dyDescent="0.2">
      <c r="O1037" s="38" t="s">
        <v>764</v>
      </c>
      <c r="P1037" s="47" t="s">
        <v>126</v>
      </c>
    </row>
    <row r="1038" spans="15:16" x14ac:dyDescent="0.2">
      <c r="O1038" s="37" t="s">
        <v>876</v>
      </c>
      <c r="P1038" s="46" t="s">
        <v>126</v>
      </c>
    </row>
    <row r="1039" spans="15:16" x14ac:dyDescent="0.2">
      <c r="O1039" s="38" t="s">
        <v>1091</v>
      </c>
      <c r="P1039" s="47" t="s">
        <v>126</v>
      </c>
    </row>
    <row r="1040" spans="15:16" x14ac:dyDescent="0.2">
      <c r="O1040" s="37" t="s">
        <v>923</v>
      </c>
      <c r="P1040" s="46" t="s">
        <v>126</v>
      </c>
    </row>
    <row r="1041" spans="15:16" x14ac:dyDescent="0.2">
      <c r="O1041" s="38" t="s">
        <v>767</v>
      </c>
      <c r="P1041" s="47" t="s">
        <v>126</v>
      </c>
    </row>
    <row r="1042" spans="15:16" x14ac:dyDescent="0.2">
      <c r="O1042" s="37" t="s">
        <v>877</v>
      </c>
      <c r="P1042" s="46" t="s">
        <v>126</v>
      </c>
    </row>
    <row r="1043" spans="15:16" x14ac:dyDescent="0.2">
      <c r="O1043" s="38" t="s">
        <v>410</v>
      </c>
      <c r="P1043" s="47" t="s">
        <v>126</v>
      </c>
    </row>
    <row r="1044" spans="15:16" x14ac:dyDescent="0.2">
      <c r="O1044" s="37" t="s">
        <v>1092</v>
      </c>
      <c r="P1044" s="46" t="s">
        <v>126</v>
      </c>
    </row>
    <row r="1045" spans="15:16" x14ac:dyDescent="0.2">
      <c r="O1045" s="38" t="s">
        <v>1093</v>
      </c>
      <c r="P1045" s="47" t="s">
        <v>126</v>
      </c>
    </row>
    <row r="1046" spans="15:16" x14ac:dyDescent="0.2">
      <c r="O1046" s="37" t="s">
        <v>412</v>
      </c>
      <c r="P1046" s="46" t="s">
        <v>126</v>
      </c>
    </row>
    <row r="1047" spans="15:16" x14ac:dyDescent="0.2">
      <c r="O1047" s="38" t="s">
        <v>413</v>
      </c>
      <c r="P1047" s="47" t="s">
        <v>126</v>
      </c>
    </row>
    <row r="1048" spans="15:16" x14ac:dyDescent="0.2">
      <c r="O1048" s="37" t="s">
        <v>1094</v>
      </c>
      <c r="P1048" s="46" t="s">
        <v>126</v>
      </c>
    </row>
    <row r="1049" spans="15:16" x14ac:dyDescent="0.2">
      <c r="O1049" s="38" t="s">
        <v>511</v>
      </c>
      <c r="P1049" s="47" t="s">
        <v>126</v>
      </c>
    </row>
    <row r="1050" spans="15:16" x14ac:dyDescent="0.2">
      <c r="O1050" s="37" t="s">
        <v>1095</v>
      </c>
      <c r="P1050" s="46" t="s">
        <v>126</v>
      </c>
    </row>
    <row r="1051" spans="15:16" x14ac:dyDescent="0.2">
      <c r="O1051" s="38" t="s">
        <v>1096</v>
      </c>
      <c r="P1051" s="47" t="s">
        <v>126</v>
      </c>
    </row>
    <row r="1052" spans="15:16" x14ac:dyDescent="0.2">
      <c r="O1052" s="37" t="s">
        <v>884</v>
      </c>
      <c r="P1052" s="46" t="s">
        <v>126</v>
      </c>
    </row>
    <row r="1053" spans="15:16" x14ac:dyDescent="0.2">
      <c r="O1053" s="38" t="s">
        <v>1097</v>
      </c>
      <c r="P1053" s="47" t="s">
        <v>126</v>
      </c>
    </row>
    <row r="1054" spans="15:16" x14ac:dyDescent="0.2">
      <c r="O1054" s="37" t="s">
        <v>1098</v>
      </c>
      <c r="P1054" s="46" t="s">
        <v>126</v>
      </c>
    </row>
    <row r="1055" spans="15:16" x14ac:dyDescent="0.2">
      <c r="O1055" s="38" t="s">
        <v>416</v>
      </c>
      <c r="P1055" s="47" t="s">
        <v>126</v>
      </c>
    </row>
    <row r="1056" spans="15:16" x14ac:dyDescent="0.2">
      <c r="O1056" s="37" t="s">
        <v>417</v>
      </c>
      <c r="P1056" s="46" t="s">
        <v>126</v>
      </c>
    </row>
    <row r="1057" spans="15:16" x14ac:dyDescent="0.2">
      <c r="O1057" s="38" t="s">
        <v>1099</v>
      </c>
      <c r="P1057" s="47" t="s">
        <v>126</v>
      </c>
    </row>
    <row r="1058" spans="15:16" x14ac:dyDescent="0.2">
      <c r="O1058" s="37" t="s">
        <v>1100</v>
      </c>
      <c r="P1058" s="46" t="s">
        <v>126</v>
      </c>
    </row>
    <row r="1059" spans="15:16" x14ac:dyDescent="0.2">
      <c r="O1059" s="38" t="s">
        <v>848</v>
      </c>
      <c r="P1059" s="47" t="s">
        <v>126</v>
      </c>
    </row>
    <row r="1060" spans="15:16" x14ac:dyDescent="0.2">
      <c r="O1060" s="37" t="s">
        <v>513</v>
      </c>
      <c r="P1060" s="46" t="s">
        <v>126</v>
      </c>
    </row>
    <row r="1061" spans="15:16" x14ac:dyDescent="0.2">
      <c r="O1061" s="38" t="s">
        <v>886</v>
      </c>
      <c r="P1061" s="47" t="s">
        <v>126</v>
      </c>
    </row>
    <row r="1062" spans="15:16" x14ac:dyDescent="0.2">
      <c r="O1062" s="37" t="s">
        <v>515</v>
      </c>
      <c r="P1062" s="46" t="s">
        <v>126</v>
      </c>
    </row>
    <row r="1063" spans="15:16" x14ac:dyDescent="0.2">
      <c r="O1063" s="38" t="s">
        <v>978</v>
      </c>
      <c r="P1063" s="47" t="s">
        <v>126</v>
      </c>
    </row>
    <row r="1064" spans="15:16" x14ac:dyDescent="0.2">
      <c r="O1064" s="37" t="s">
        <v>1101</v>
      </c>
      <c r="P1064" s="46" t="s">
        <v>126</v>
      </c>
    </row>
    <row r="1065" spans="15:16" x14ac:dyDescent="0.2">
      <c r="O1065" s="38" t="s">
        <v>1102</v>
      </c>
      <c r="P1065" s="47" t="s">
        <v>126</v>
      </c>
    </row>
    <row r="1066" spans="15:16" x14ac:dyDescent="0.2">
      <c r="O1066" s="37" t="s">
        <v>889</v>
      </c>
      <c r="P1066" s="46" t="s">
        <v>126</v>
      </c>
    </row>
    <row r="1067" spans="15:16" x14ac:dyDescent="0.2">
      <c r="O1067" s="38" t="s">
        <v>421</v>
      </c>
      <c r="P1067" s="47" t="s">
        <v>126</v>
      </c>
    </row>
    <row r="1068" spans="15:16" x14ac:dyDescent="0.2">
      <c r="O1068" s="37" t="s">
        <v>1103</v>
      </c>
      <c r="P1068" s="46" t="s">
        <v>126</v>
      </c>
    </row>
    <row r="1069" spans="15:16" x14ac:dyDescent="0.2">
      <c r="O1069" s="38" t="s">
        <v>423</v>
      </c>
      <c r="P1069" s="47" t="s">
        <v>126</v>
      </c>
    </row>
    <row r="1070" spans="15:16" x14ac:dyDescent="0.2">
      <c r="O1070" s="37" t="s">
        <v>424</v>
      </c>
      <c r="P1070" s="46" t="s">
        <v>126</v>
      </c>
    </row>
    <row r="1071" spans="15:16" x14ac:dyDescent="0.2">
      <c r="O1071" s="38" t="s">
        <v>694</v>
      </c>
      <c r="P1071" s="47" t="s">
        <v>126</v>
      </c>
    </row>
    <row r="1072" spans="15:16" x14ac:dyDescent="0.2">
      <c r="O1072" s="37" t="s">
        <v>891</v>
      </c>
      <c r="P1072" s="46" t="s">
        <v>126</v>
      </c>
    </row>
    <row r="1073" spans="15:16" x14ac:dyDescent="0.2">
      <c r="O1073" s="38" t="s">
        <v>1031</v>
      </c>
      <c r="P1073" s="47" t="s">
        <v>126</v>
      </c>
    </row>
    <row r="1074" spans="15:16" x14ac:dyDescent="0.2">
      <c r="O1074" s="37" t="s">
        <v>1104</v>
      </c>
      <c r="P1074" s="46" t="s">
        <v>126</v>
      </c>
    </row>
    <row r="1075" spans="15:16" x14ac:dyDescent="0.2">
      <c r="O1075" s="38" t="s">
        <v>894</v>
      </c>
      <c r="P1075" s="47" t="s">
        <v>126</v>
      </c>
    </row>
    <row r="1076" spans="15:16" x14ac:dyDescent="0.2">
      <c r="O1076" s="37" t="s">
        <v>1105</v>
      </c>
      <c r="P1076" s="46" t="s">
        <v>126</v>
      </c>
    </row>
    <row r="1077" spans="15:16" x14ac:dyDescent="0.2">
      <c r="O1077" s="38" t="s">
        <v>426</v>
      </c>
      <c r="P1077" s="47" t="s">
        <v>126</v>
      </c>
    </row>
    <row r="1078" spans="15:16" x14ac:dyDescent="0.2">
      <c r="O1078" s="37" t="s">
        <v>427</v>
      </c>
      <c r="P1078" s="46" t="s">
        <v>126</v>
      </c>
    </row>
    <row r="1079" spans="15:16" x14ac:dyDescent="0.2">
      <c r="O1079" s="38" t="s">
        <v>428</v>
      </c>
      <c r="P1079" s="47" t="s">
        <v>126</v>
      </c>
    </row>
    <row r="1080" spans="15:16" x14ac:dyDescent="0.2">
      <c r="O1080" s="37" t="s">
        <v>1106</v>
      </c>
      <c r="P1080" s="46" t="s">
        <v>126</v>
      </c>
    </row>
    <row r="1081" spans="15:16" x14ac:dyDescent="0.2">
      <c r="O1081" s="38" t="s">
        <v>1107</v>
      </c>
      <c r="P1081" s="47" t="s">
        <v>126</v>
      </c>
    </row>
    <row r="1082" spans="15:16" x14ac:dyDescent="0.2">
      <c r="O1082" s="37" t="s">
        <v>1108</v>
      </c>
      <c r="P1082" s="46" t="s">
        <v>126</v>
      </c>
    </row>
    <row r="1083" spans="15:16" x14ac:dyDescent="0.2">
      <c r="O1083" s="38" t="s">
        <v>933</v>
      </c>
      <c r="P1083" s="47" t="s">
        <v>126</v>
      </c>
    </row>
    <row r="1084" spans="15:16" x14ac:dyDescent="0.2">
      <c r="O1084" s="37" t="s">
        <v>1109</v>
      </c>
      <c r="P1084" s="46" t="s">
        <v>126</v>
      </c>
    </row>
    <row r="1085" spans="15:16" x14ac:dyDescent="0.2">
      <c r="O1085" s="38" t="s">
        <v>934</v>
      </c>
      <c r="P1085" s="47" t="s">
        <v>126</v>
      </c>
    </row>
    <row r="1086" spans="15:16" x14ac:dyDescent="0.2">
      <c r="O1086" s="37" t="s">
        <v>1110</v>
      </c>
      <c r="P1086" s="46" t="s">
        <v>126</v>
      </c>
    </row>
    <row r="1087" spans="15:16" x14ac:dyDescent="0.2">
      <c r="O1087" s="38" t="s">
        <v>1111</v>
      </c>
      <c r="P1087" s="47" t="s">
        <v>126</v>
      </c>
    </row>
    <row r="1088" spans="15:16" x14ac:dyDescent="0.2">
      <c r="O1088" s="37" t="s">
        <v>429</v>
      </c>
      <c r="P1088" s="46" t="s">
        <v>126</v>
      </c>
    </row>
    <row r="1089" spans="15:16" x14ac:dyDescent="0.2">
      <c r="O1089" s="38" t="s">
        <v>431</v>
      </c>
      <c r="P1089" s="47" t="s">
        <v>126</v>
      </c>
    </row>
    <row r="1090" spans="15:16" x14ac:dyDescent="0.2">
      <c r="O1090" s="37" t="s">
        <v>1112</v>
      </c>
      <c r="P1090" s="46" t="s">
        <v>126</v>
      </c>
    </row>
    <row r="1091" spans="15:16" x14ac:dyDescent="0.2">
      <c r="O1091" s="38" t="s">
        <v>527</v>
      </c>
      <c r="P1091" s="47" t="s">
        <v>126</v>
      </c>
    </row>
    <row r="1092" spans="15:16" x14ac:dyDescent="0.2">
      <c r="O1092" s="37" t="s">
        <v>1113</v>
      </c>
      <c r="P1092" s="46" t="s">
        <v>126</v>
      </c>
    </row>
    <row r="1093" spans="15:16" x14ac:dyDescent="0.2">
      <c r="O1093" s="38" t="s">
        <v>1114</v>
      </c>
      <c r="P1093" s="47" t="s">
        <v>126</v>
      </c>
    </row>
    <row r="1094" spans="15:16" x14ac:dyDescent="0.2">
      <c r="O1094" s="37" t="s">
        <v>1115</v>
      </c>
      <c r="P1094" s="46" t="s">
        <v>126</v>
      </c>
    </row>
    <row r="1095" spans="15:16" x14ac:dyDescent="0.2">
      <c r="O1095" s="38" t="s">
        <v>433</v>
      </c>
      <c r="P1095" s="47" t="s">
        <v>126</v>
      </c>
    </row>
    <row r="1096" spans="15:16" x14ac:dyDescent="0.2">
      <c r="O1096" s="37" t="s">
        <v>530</v>
      </c>
      <c r="P1096" s="46" t="s">
        <v>126</v>
      </c>
    </row>
    <row r="1097" spans="15:16" x14ac:dyDescent="0.2">
      <c r="O1097" s="38" t="s">
        <v>435</v>
      </c>
      <c r="P1097" s="47" t="s">
        <v>126</v>
      </c>
    </row>
    <row r="1098" spans="15:16" x14ac:dyDescent="0.2">
      <c r="O1098" s="37" t="s">
        <v>1116</v>
      </c>
      <c r="P1098" s="46" t="s">
        <v>126</v>
      </c>
    </row>
    <row r="1099" spans="15:16" x14ac:dyDescent="0.2">
      <c r="O1099" s="38" t="s">
        <v>941</v>
      </c>
      <c r="P1099" s="47" t="s">
        <v>126</v>
      </c>
    </row>
    <row r="1100" spans="15:16" x14ac:dyDescent="0.2">
      <c r="O1100" s="37" t="s">
        <v>709</v>
      </c>
      <c r="P1100" s="46" t="s">
        <v>126</v>
      </c>
    </row>
    <row r="1101" spans="15:16" x14ac:dyDescent="0.2">
      <c r="O1101" s="38" t="s">
        <v>1117</v>
      </c>
      <c r="P1101" s="47" t="s">
        <v>126</v>
      </c>
    </row>
    <row r="1102" spans="15:16" x14ac:dyDescent="0.2">
      <c r="O1102" s="37" t="s">
        <v>1118</v>
      </c>
      <c r="P1102" s="46" t="s">
        <v>126</v>
      </c>
    </row>
    <row r="1103" spans="15:16" x14ac:dyDescent="0.2">
      <c r="O1103" s="38" t="s">
        <v>1119</v>
      </c>
      <c r="P1103" s="47" t="s">
        <v>126</v>
      </c>
    </row>
    <row r="1104" spans="15:16" x14ac:dyDescent="0.2">
      <c r="O1104" s="37" t="s">
        <v>536</v>
      </c>
      <c r="P1104" s="46" t="s">
        <v>126</v>
      </c>
    </row>
    <row r="1105" spans="15:16" x14ac:dyDescent="0.2">
      <c r="O1105" s="38" t="s">
        <v>813</v>
      </c>
      <c r="P1105" s="47" t="s">
        <v>126</v>
      </c>
    </row>
    <row r="1106" spans="15:16" x14ac:dyDescent="0.2">
      <c r="O1106" s="37" t="s">
        <v>441</v>
      </c>
      <c r="P1106" s="46" t="s">
        <v>126</v>
      </c>
    </row>
    <row r="1107" spans="15:16" x14ac:dyDescent="0.2">
      <c r="O1107" s="38" t="s">
        <v>814</v>
      </c>
      <c r="P1107" s="47" t="s">
        <v>126</v>
      </c>
    </row>
    <row r="1108" spans="15:16" x14ac:dyDescent="0.2">
      <c r="O1108" s="37" t="s">
        <v>815</v>
      </c>
      <c r="P1108" s="46" t="s">
        <v>126</v>
      </c>
    </row>
    <row r="1109" spans="15:16" x14ac:dyDescent="0.2">
      <c r="O1109" s="38" t="s">
        <v>953</v>
      </c>
      <c r="P1109" s="47" t="s">
        <v>126</v>
      </c>
    </row>
    <row r="1110" spans="15:16" x14ac:dyDescent="0.2">
      <c r="O1110" s="37" t="s">
        <v>1120</v>
      </c>
      <c r="P1110" s="46" t="s">
        <v>126</v>
      </c>
    </row>
    <row r="1111" spans="15:16" x14ac:dyDescent="0.2">
      <c r="O1111" s="38" t="s">
        <v>912</v>
      </c>
      <c r="P1111" s="47" t="s">
        <v>126</v>
      </c>
    </row>
    <row r="1112" spans="15:16" x14ac:dyDescent="0.2">
      <c r="O1112" s="37" t="s">
        <v>1121</v>
      </c>
      <c r="P1112" s="46" t="s">
        <v>125</v>
      </c>
    </row>
    <row r="1113" spans="15:16" x14ac:dyDescent="0.2">
      <c r="O1113" s="38" t="s">
        <v>1122</v>
      </c>
      <c r="P1113" s="47" t="s">
        <v>125</v>
      </c>
    </row>
    <row r="1114" spans="15:16" x14ac:dyDescent="0.2">
      <c r="O1114" s="37" t="s">
        <v>1123</v>
      </c>
      <c r="P1114" s="46" t="s">
        <v>125</v>
      </c>
    </row>
    <row r="1115" spans="15:16" x14ac:dyDescent="0.2">
      <c r="O1115" s="38" t="s">
        <v>1124</v>
      </c>
      <c r="P1115" s="47" t="s">
        <v>125</v>
      </c>
    </row>
    <row r="1116" spans="15:16" x14ac:dyDescent="0.2">
      <c r="O1116" s="37" t="s">
        <v>1125</v>
      </c>
      <c r="P1116" s="46" t="s">
        <v>125</v>
      </c>
    </row>
    <row r="1117" spans="15:16" x14ac:dyDescent="0.2">
      <c r="O1117" s="38" t="s">
        <v>1126</v>
      </c>
      <c r="P1117" s="47" t="s">
        <v>125</v>
      </c>
    </row>
    <row r="1118" spans="15:16" x14ac:dyDescent="0.2">
      <c r="O1118" s="37" t="s">
        <v>1127</v>
      </c>
      <c r="P1118" s="46" t="s">
        <v>125</v>
      </c>
    </row>
    <row r="1119" spans="15:16" x14ac:dyDescent="0.2">
      <c r="O1119" s="38" t="s">
        <v>1128</v>
      </c>
      <c r="P1119" s="47" t="s">
        <v>125</v>
      </c>
    </row>
    <row r="1120" spans="15:16" x14ac:dyDescent="0.2">
      <c r="O1120" s="37" t="s">
        <v>1129</v>
      </c>
      <c r="P1120" s="46" t="s">
        <v>125</v>
      </c>
    </row>
    <row r="1121" spans="15:16" x14ac:dyDescent="0.2">
      <c r="O1121" s="38" t="s">
        <v>1130</v>
      </c>
      <c r="P1121" s="47" t="s">
        <v>125</v>
      </c>
    </row>
    <row r="1122" spans="15:16" x14ac:dyDescent="0.2">
      <c r="O1122" s="37" t="s">
        <v>1131</v>
      </c>
      <c r="P1122" s="46" t="s">
        <v>125</v>
      </c>
    </row>
    <row r="1123" spans="15:16" x14ac:dyDescent="0.2">
      <c r="O1123" s="38" t="s">
        <v>1132</v>
      </c>
      <c r="P1123" s="47" t="s">
        <v>125</v>
      </c>
    </row>
    <row r="1124" spans="15:16" x14ac:dyDescent="0.2">
      <c r="O1124" s="37" t="s">
        <v>1133</v>
      </c>
      <c r="P1124" s="46" t="s">
        <v>125</v>
      </c>
    </row>
    <row r="1125" spans="15:16" x14ac:dyDescent="0.2">
      <c r="O1125" s="38" t="s">
        <v>1134</v>
      </c>
      <c r="P1125" s="47" t="s">
        <v>125</v>
      </c>
    </row>
    <row r="1126" spans="15:16" x14ac:dyDescent="0.2">
      <c r="O1126" s="37" t="s">
        <v>1135</v>
      </c>
      <c r="P1126" s="46" t="s">
        <v>125</v>
      </c>
    </row>
    <row r="1127" spans="15:16" x14ac:dyDescent="0.2">
      <c r="O1127" s="38" t="s">
        <v>1136</v>
      </c>
      <c r="P1127" s="47" t="s">
        <v>125</v>
      </c>
    </row>
    <row r="1128" spans="15:16" x14ac:dyDescent="0.2">
      <c r="O1128" s="37" t="s">
        <v>1137</v>
      </c>
      <c r="P1128" s="46" t="s">
        <v>125</v>
      </c>
    </row>
    <row r="1129" spans="15:16" x14ac:dyDescent="0.2">
      <c r="O1129" s="38" t="s">
        <v>1138</v>
      </c>
      <c r="P1129" s="47" t="s">
        <v>125</v>
      </c>
    </row>
    <row r="1130" spans="15:16" x14ac:dyDescent="0.2">
      <c r="O1130" s="37" t="s">
        <v>1139</v>
      </c>
      <c r="P1130" s="46" t="s">
        <v>125</v>
      </c>
    </row>
    <row r="1131" spans="15:16" x14ac:dyDescent="0.2">
      <c r="O1131" s="38" t="s">
        <v>1140</v>
      </c>
      <c r="P1131" s="47" t="s">
        <v>125</v>
      </c>
    </row>
    <row r="1132" spans="15:16" x14ac:dyDescent="0.2">
      <c r="O1132" s="37" t="s">
        <v>1141</v>
      </c>
      <c r="P1132" s="46" t="s">
        <v>125</v>
      </c>
    </row>
    <row r="1133" spans="15:16" x14ac:dyDescent="0.2">
      <c r="O1133" s="38" t="s">
        <v>1142</v>
      </c>
      <c r="P1133" s="47" t="s">
        <v>125</v>
      </c>
    </row>
    <row r="1134" spans="15:16" x14ac:dyDescent="0.2">
      <c r="O1134" s="37" t="s">
        <v>1143</v>
      </c>
      <c r="P1134" s="46" t="s">
        <v>125</v>
      </c>
    </row>
    <row r="1135" spans="15:16" x14ac:dyDescent="0.2">
      <c r="O1135" s="38" t="s">
        <v>1144</v>
      </c>
      <c r="P1135" s="47" t="s">
        <v>125</v>
      </c>
    </row>
    <row r="1136" spans="15:16" x14ac:dyDescent="0.2">
      <c r="O1136" s="37" t="s">
        <v>1145</v>
      </c>
      <c r="P1136" s="46" t="s">
        <v>125</v>
      </c>
    </row>
    <row r="1137" spans="15:16" x14ac:dyDescent="0.2">
      <c r="O1137" s="38" t="s">
        <v>1146</v>
      </c>
      <c r="P1137" s="47" t="s">
        <v>125</v>
      </c>
    </row>
    <row r="1138" spans="15:16" x14ac:dyDescent="0.2">
      <c r="O1138" s="37" t="s">
        <v>1147</v>
      </c>
      <c r="P1138" s="46" t="s">
        <v>125</v>
      </c>
    </row>
    <row r="1139" spans="15:16" x14ac:dyDescent="0.2">
      <c r="O1139" s="38" t="s">
        <v>1148</v>
      </c>
      <c r="P1139" s="47" t="s">
        <v>125</v>
      </c>
    </row>
    <row r="1140" spans="15:16" x14ac:dyDescent="0.2">
      <c r="O1140" s="37" t="s">
        <v>1149</v>
      </c>
      <c r="P1140" s="46" t="s">
        <v>125</v>
      </c>
    </row>
    <row r="1141" spans="15:16" x14ac:dyDescent="0.2">
      <c r="O1141" s="38" t="s">
        <v>1150</v>
      </c>
      <c r="P1141" s="47" t="s">
        <v>125</v>
      </c>
    </row>
    <row r="1142" spans="15:16" x14ac:dyDescent="0.2">
      <c r="O1142" s="37" t="s">
        <v>1151</v>
      </c>
      <c r="P1142" s="46" t="s">
        <v>125</v>
      </c>
    </row>
    <row r="1143" spans="15:16" x14ac:dyDescent="0.2">
      <c r="O1143" s="38" t="s">
        <v>1152</v>
      </c>
      <c r="P1143" s="47" t="s">
        <v>125</v>
      </c>
    </row>
    <row r="1144" spans="15:16" x14ac:dyDescent="0.2">
      <c r="O1144" s="37" t="s">
        <v>1153</v>
      </c>
      <c r="P1144" s="46" t="s">
        <v>125</v>
      </c>
    </row>
    <row r="1145" spans="15:16" x14ac:dyDescent="0.2">
      <c r="O1145" s="38" t="s">
        <v>1154</v>
      </c>
      <c r="P1145" s="47" t="s">
        <v>125</v>
      </c>
    </row>
    <row r="1146" spans="15:16" x14ac:dyDescent="0.2">
      <c r="O1146" s="37" t="s">
        <v>1155</v>
      </c>
      <c r="P1146" s="46" t="s">
        <v>125</v>
      </c>
    </row>
    <row r="1147" spans="15:16" x14ac:dyDescent="0.2">
      <c r="O1147" s="38" t="s">
        <v>1156</v>
      </c>
      <c r="P1147" s="47" t="s">
        <v>125</v>
      </c>
    </row>
    <row r="1148" spans="15:16" x14ac:dyDescent="0.2">
      <c r="O1148" s="37" t="s">
        <v>1157</v>
      </c>
      <c r="P1148" s="46" t="s">
        <v>125</v>
      </c>
    </row>
    <row r="1149" spans="15:16" x14ac:dyDescent="0.2">
      <c r="O1149" s="38" t="s">
        <v>1158</v>
      </c>
      <c r="P1149" s="47" t="s">
        <v>125</v>
      </c>
    </row>
    <row r="1150" spans="15:16" x14ac:dyDescent="0.2">
      <c r="O1150" s="37" t="s">
        <v>1159</v>
      </c>
      <c r="P1150" s="46" t="s">
        <v>125</v>
      </c>
    </row>
    <row r="1151" spans="15:16" x14ac:dyDescent="0.2">
      <c r="O1151" s="38" t="s">
        <v>1160</v>
      </c>
      <c r="P1151" s="47" t="s">
        <v>125</v>
      </c>
    </row>
    <row r="1152" spans="15:16" x14ac:dyDescent="0.2">
      <c r="O1152" s="37" t="s">
        <v>1161</v>
      </c>
      <c r="P1152" s="46" t="s">
        <v>125</v>
      </c>
    </row>
    <row r="1153" spans="15:16" x14ac:dyDescent="0.2">
      <c r="O1153" s="38" t="s">
        <v>1162</v>
      </c>
      <c r="P1153" s="47" t="s">
        <v>125</v>
      </c>
    </row>
    <row r="1154" spans="15:16" x14ac:dyDescent="0.2">
      <c r="O1154" s="37" t="s">
        <v>1163</v>
      </c>
      <c r="P1154" s="46" t="s">
        <v>125</v>
      </c>
    </row>
    <row r="1155" spans="15:16" x14ac:dyDescent="0.2">
      <c r="O1155" s="38" t="s">
        <v>1164</v>
      </c>
      <c r="P1155" s="47" t="s">
        <v>125</v>
      </c>
    </row>
    <row r="1156" spans="15:16" x14ac:dyDescent="0.2">
      <c r="O1156" s="37" t="s">
        <v>1165</v>
      </c>
      <c r="P1156" s="46" t="s">
        <v>125</v>
      </c>
    </row>
    <row r="1157" spans="15:16" x14ac:dyDescent="0.2">
      <c r="O1157" s="38" t="s">
        <v>1166</v>
      </c>
      <c r="P1157" s="47" t="s">
        <v>125</v>
      </c>
    </row>
    <row r="1158" spans="15:16" x14ac:dyDescent="0.2">
      <c r="O1158" s="37" t="s">
        <v>1167</v>
      </c>
      <c r="P1158" s="46" t="s">
        <v>125</v>
      </c>
    </row>
    <row r="1159" spans="15:16" x14ac:dyDescent="0.2">
      <c r="O1159" s="38" t="s">
        <v>1168</v>
      </c>
      <c r="P1159" s="47" t="s">
        <v>125</v>
      </c>
    </row>
    <row r="1160" spans="15:16" x14ac:dyDescent="0.2">
      <c r="O1160" s="37" t="s">
        <v>1169</v>
      </c>
      <c r="P1160" s="46" t="s">
        <v>125</v>
      </c>
    </row>
    <row r="1161" spans="15:16" x14ac:dyDescent="0.2">
      <c r="O1161" s="38" t="s">
        <v>1170</v>
      </c>
      <c r="P1161" s="47" t="s">
        <v>125</v>
      </c>
    </row>
    <row r="1162" spans="15:16" x14ac:dyDescent="0.2">
      <c r="O1162" s="37" t="s">
        <v>1171</v>
      </c>
      <c r="P1162" s="46" t="s">
        <v>125</v>
      </c>
    </row>
    <row r="1163" spans="15:16" x14ac:dyDescent="0.2">
      <c r="O1163" s="38" t="s">
        <v>1172</v>
      </c>
      <c r="P1163" s="47" t="s">
        <v>125</v>
      </c>
    </row>
    <row r="1164" spans="15:16" x14ac:dyDescent="0.2">
      <c r="O1164" s="37" t="s">
        <v>1173</v>
      </c>
      <c r="P1164" s="46" t="s">
        <v>125</v>
      </c>
    </row>
    <row r="1165" spans="15:16" x14ac:dyDescent="0.2">
      <c r="O1165" s="38" t="s">
        <v>1174</v>
      </c>
      <c r="P1165" s="47" t="s">
        <v>125</v>
      </c>
    </row>
    <row r="1166" spans="15:16" x14ac:dyDescent="0.2">
      <c r="O1166" s="37" t="s">
        <v>1175</v>
      </c>
      <c r="P1166" s="46" t="s">
        <v>125</v>
      </c>
    </row>
    <row r="1167" spans="15:16" x14ac:dyDescent="0.2">
      <c r="O1167" s="38" t="s">
        <v>1176</v>
      </c>
      <c r="P1167" s="47" t="s">
        <v>125</v>
      </c>
    </row>
    <row r="1168" spans="15:16" x14ac:dyDescent="0.2">
      <c r="O1168" s="37" t="s">
        <v>1177</v>
      </c>
      <c r="P1168" s="46" t="s">
        <v>125</v>
      </c>
    </row>
    <row r="1169" spans="15:16" x14ac:dyDescent="0.2">
      <c r="O1169" s="38" t="s">
        <v>1178</v>
      </c>
      <c r="P1169" s="47" t="s">
        <v>125</v>
      </c>
    </row>
    <row r="1170" spans="15:16" x14ac:dyDescent="0.2">
      <c r="O1170" s="37" t="s">
        <v>1179</v>
      </c>
      <c r="P1170" s="46" t="s">
        <v>125</v>
      </c>
    </row>
    <row r="1171" spans="15:16" x14ac:dyDescent="0.2">
      <c r="O1171" s="38" t="s">
        <v>1180</v>
      </c>
      <c r="P1171" s="47" t="s">
        <v>125</v>
      </c>
    </row>
    <row r="1172" spans="15:16" x14ac:dyDescent="0.2">
      <c r="O1172" s="37" t="s">
        <v>1181</v>
      </c>
      <c r="P1172" s="46" t="s">
        <v>125</v>
      </c>
    </row>
    <row r="1173" spans="15:16" x14ac:dyDescent="0.2">
      <c r="O1173" s="38" t="s">
        <v>1182</v>
      </c>
      <c r="P1173" s="47" t="s">
        <v>125</v>
      </c>
    </row>
    <row r="1174" spans="15:16" x14ac:dyDescent="0.2">
      <c r="O1174" s="37" t="s">
        <v>1183</v>
      </c>
      <c r="P1174" s="46" t="s">
        <v>125</v>
      </c>
    </row>
    <row r="1175" spans="15:16" x14ac:dyDescent="0.2">
      <c r="O1175" s="38" t="s">
        <v>1184</v>
      </c>
      <c r="P1175" s="47" t="s">
        <v>125</v>
      </c>
    </row>
    <row r="1176" spans="15:16" x14ac:dyDescent="0.2">
      <c r="O1176" s="37" t="s">
        <v>1185</v>
      </c>
      <c r="P1176" s="46" t="s">
        <v>124</v>
      </c>
    </row>
    <row r="1177" spans="15:16" x14ac:dyDescent="0.2">
      <c r="O1177" s="38" t="s">
        <v>1186</v>
      </c>
      <c r="P1177" s="47" t="s">
        <v>124</v>
      </c>
    </row>
    <row r="1178" spans="15:16" x14ac:dyDescent="0.2">
      <c r="O1178" s="37" t="s">
        <v>868</v>
      </c>
      <c r="P1178" s="46" t="s">
        <v>124</v>
      </c>
    </row>
    <row r="1179" spans="15:16" x14ac:dyDescent="0.2">
      <c r="O1179" s="38" t="s">
        <v>406</v>
      </c>
      <c r="P1179" s="47" t="s">
        <v>124</v>
      </c>
    </row>
    <row r="1180" spans="15:16" x14ac:dyDescent="0.2">
      <c r="O1180" s="37" t="s">
        <v>764</v>
      </c>
      <c r="P1180" s="46" t="s">
        <v>124</v>
      </c>
    </row>
    <row r="1181" spans="15:16" x14ac:dyDescent="0.2">
      <c r="O1181" s="38" t="s">
        <v>1187</v>
      </c>
      <c r="P1181" s="47" t="s">
        <v>124</v>
      </c>
    </row>
    <row r="1182" spans="15:16" x14ac:dyDescent="0.2">
      <c r="O1182" s="37" t="s">
        <v>884</v>
      </c>
      <c r="P1182" s="46" t="s">
        <v>124</v>
      </c>
    </row>
    <row r="1183" spans="15:16" x14ac:dyDescent="0.2">
      <c r="O1183" s="38" t="s">
        <v>513</v>
      </c>
      <c r="P1183" s="47" t="s">
        <v>124</v>
      </c>
    </row>
    <row r="1184" spans="15:16" x14ac:dyDescent="0.2">
      <c r="O1184" s="37" t="s">
        <v>1188</v>
      </c>
      <c r="P1184" s="46" t="s">
        <v>124</v>
      </c>
    </row>
    <row r="1185" spans="15:16" x14ac:dyDescent="0.2">
      <c r="O1185" s="38" t="s">
        <v>1189</v>
      </c>
      <c r="P1185" s="47" t="s">
        <v>124</v>
      </c>
    </row>
    <row r="1186" spans="15:16" x14ac:dyDescent="0.2">
      <c r="O1186" s="37" t="s">
        <v>1190</v>
      </c>
      <c r="P1186" s="46" t="s">
        <v>124</v>
      </c>
    </row>
    <row r="1187" spans="15:16" x14ac:dyDescent="0.2">
      <c r="O1187" s="38" t="s">
        <v>1191</v>
      </c>
      <c r="P1187" s="47" t="s">
        <v>124</v>
      </c>
    </row>
    <row r="1188" spans="15:16" x14ac:dyDescent="0.2">
      <c r="O1188" s="37" t="s">
        <v>1192</v>
      </c>
      <c r="P1188" s="46" t="s">
        <v>124</v>
      </c>
    </row>
    <row r="1189" spans="15:16" x14ac:dyDescent="0.2">
      <c r="O1189" s="38" t="s">
        <v>1193</v>
      </c>
      <c r="P1189" s="47" t="s">
        <v>124</v>
      </c>
    </row>
    <row r="1190" spans="15:16" x14ac:dyDescent="0.2">
      <c r="O1190" s="37" t="s">
        <v>441</v>
      </c>
      <c r="P1190" s="46" t="s">
        <v>124</v>
      </c>
    </row>
    <row r="1191" spans="15:16" x14ac:dyDescent="0.2">
      <c r="O1191" s="38" t="s">
        <v>1194</v>
      </c>
      <c r="P1191" s="47" t="s">
        <v>124</v>
      </c>
    </row>
    <row r="1192" spans="15:16" x14ac:dyDescent="0.2">
      <c r="O1192" s="37" t="s">
        <v>1195</v>
      </c>
      <c r="P1192" s="46" t="s">
        <v>123</v>
      </c>
    </row>
    <row r="1193" spans="15:16" x14ac:dyDescent="0.2">
      <c r="O1193" s="38" t="s">
        <v>1196</v>
      </c>
      <c r="P1193" s="47" t="s">
        <v>123</v>
      </c>
    </row>
    <row r="1194" spans="15:16" x14ac:dyDescent="0.2">
      <c r="O1194" s="37" t="s">
        <v>1197</v>
      </c>
      <c r="P1194" s="46" t="s">
        <v>123</v>
      </c>
    </row>
    <row r="1195" spans="15:16" x14ac:dyDescent="0.2">
      <c r="O1195" s="38" t="s">
        <v>1198</v>
      </c>
      <c r="P1195" s="47" t="s">
        <v>123</v>
      </c>
    </row>
    <row r="1196" spans="15:16" x14ac:dyDescent="0.2">
      <c r="O1196" s="37" t="s">
        <v>1199</v>
      </c>
      <c r="P1196" s="46" t="s">
        <v>123</v>
      </c>
    </row>
    <row r="1197" spans="15:16" x14ac:dyDescent="0.2">
      <c r="O1197" s="38" t="s">
        <v>490</v>
      </c>
      <c r="P1197" s="47" t="s">
        <v>123</v>
      </c>
    </row>
    <row r="1198" spans="15:16" x14ac:dyDescent="0.2">
      <c r="O1198" s="37" t="s">
        <v>1200</v>
      </c>
      <c r="P1198" s="46" t="s">
        <v>123</v>
      </c>
    </row>
    <row r="1199" spans="15:16" x14ac:dyDescent="0.2">
      <c r="O1199" s="38" t="s">
        <v>1201</v>
      </c>
      <c r="P1199" s="47" t="s">
        <v>123</v>
      </c>
    </row>
    <row r="1200" spans="15:16" x14ac:dyDescent="0.2">
      <c r="O1200" s="37" t="s">
        <v>1202</v>
      </c>
      <c r="P1200" s="46" t="s">
        <v>123</v>
      </c>
    </row>
    <row r="1201" spans="15:16" x14ac:dyDescent="0.2">
      <c r="O1201" s="38" t="s">
        <v>1203</v>
      </c>
      <c r="P1201" s="47" t="s">
        <v>123</v>
      </c>
    </row>
    <row r="1202" spans="15:16" x14ac:dyDescent="0.2">
      <c r="O1202" s="37" t="s">
        <v>1204</v>
      </c>
      <c r="P1202" s="46" t="s">
        <v>123</v>
      </c>
    </row>
    <row r="1203" spans="15:16" x14ac:dyDescent="0.2">
      <c r="O1203" s="38" t="s">
        <v>1205</v>
      </c>
      <c r="P1203" s="47" t="s">
        <v>123</v>
      </c>
    </row>
    <row r="1204" spans="15:16" x14ac:dyDescent="0.2">
      <c r="O1204" s="37" t="s">
        <v>508</v>
      </c>
      <c r="P1204" s="46" t="s">
        <v>123</v>
      </c>
    </row>
    <row r="1205" spans="15:16" x14ac:dyDescent="0.2">
      <c r="O1205" s="38" t="s">
        <v>659</v>
      </c>
      <c r="P1205" s="47" t="s">
        <v>123</v>
      </c>
    </row>
    <row r="1206" spans="15:16" x14ac:dyDescent="0.2">
      <c r="O1206" s="37" t="s">
        <v>427</v>
      </c>
      <c r="P1206" s="46" t="s">
        <v>123</v>
      </c>
    </row>
    <row r="1207" spans="15:16" x14ac:dyDescent="0.2">
      <c r="O1207" s="38" t="s">
        <v>1206</v>
      </c>
      <c r="P1207" s="47" t="s">
        <v>123</v>
      </c>
    </row>
    <row r="1208" spans="15:16" x14ac:dyDescent="0.2">
      <c r="O1208" s="37" t="s">
        <v>1207</v>
      </c>
      <c r="P1208" s="46" t="s">
        <v>123</v>
      </c>
    </row>
    <row r="1209" spans="15:16" x14ac:dyDescent="0.2">
      <c r="O1209" s="38" t="s">
        <v>1208</v>
      </c>
      <c r="P1209" s="47" t="s">
        <v>123</v>
      </c>
    </row>
    <row r="1210" spans="15:16" x14ac:dyDescent="0.2">
      <c r="O1210" s="37" t="s">
        <v>1192</v>
      </c>
      <c r="P1210" s="46" t="s">
        <v>123</v>
      </c>
    </row>
    <row r="1211" spans="15:16" x14ac:dyDescent="0.2">
      <c r="O1211" s="38" t="s">
        <v>798</v>
      </c>
      <c r="P1211" s="47" t="s">
        <v>123</v>
      </c>
    </row>
    <row r="1212" spans="15:16" x14ac:dyDescent="0.2">
      <c r="O1212" s="37" t="s">
        <v>441</v>
      </c>
      <c r="P1212" s="46" t="s">
        <v>123</v>
      </c>
    </row>
    <row r="1213" spans="15:16" x14ac:dyDescent="0.2">
      <c r="O1213" s="38" t="s">
        <v>1209</v>
      </c>
      <c r="P1213" s="47" t="s">
        <v>123</v>
      </c>
    </row>
    <row r="1214" spans="15:16" x14ac:dyDescent="0.2">
      <c r="O1214" s="37" t="s">
        <v>1210</v>
      </c>
      <c r="P1214" s="46" t="s">
        <v>123</v>
      </c>
    </row>
    <row r="1215" spans="15:16" x14ac:dyDescent="0.2">
      <c r="O1215" s="38" t="s">
        <v>1211</v>
      </c>
      <c r="P1215" s="47" t="s">
        <v>123</v>
      </c>
    </row>
    <row r="1216" spans="15:16" x14ac:dyDescent="0.2">
      <c r="O1216" s="37" t="s">
        <v>1212</v>
      </c>
      <c r="P1216" s="46" t="s">
        <v>122</v>
      </c>
    </row>
    <row r="1217" spans="15:16" x14ac:dyDescent="0.2">
      <c r="O1217" s="38" t="s">
        <v>1213</v>
      </c>
      <c r="P1217" s="47" t="s">
        <v>122</v>
      </c>
    </row>
    <row r="1218" spans="15:16" x14ac:dyDescent="0.2">
      <c r="O1218" s="37" t="s">
        <v>1214</v>
      </c>
      <c r="P1218" s="46" t="s">
        <v>122</v>
      </c>
    </row>
    <row r="1219" spans="15:16" x14ac:dyDescent="0.2">
      <c r="O1219" s="38" t="s">
        <v>1215</v>
      </c>
      <c r="P1219" s="47" t="s">
        <v>122</v>
      </c>
    </row>
    <row r="1220" spans="15:16" x14ac:dyDescent="0.2">
      <c r="O1220" s="37" t="s">
        <v>1216</v>
      </c>
      <c r="P1220" s="46" t="s">
        <v>122</v>
      </c>
    </row>
    <row r="1221" spans="15:16" x14ac:dyDescent="0.2">
      <c r="O1221" s="38" t="s">
        <v>406</v>
      </c>
      <c r="P1221" s="47" t="s">
        <v>122</v>
      </c>
    </row>
    <row r="1222" spans="15:16" x14ac:dyDescent="0.2">
      <c r="O1222" s="37" t="s">
        <v>1217</v>
      </c>
      <c r="P1222" s="46" t="s">
        <v>122</v>
      </c>
    </row>
    <row r="1223" spans="15:16" x14ac:dyDescent="0.2">
      <c r="O1223" s="38" t="s">
        <v>1218</v>
      </c>
      <c r="P1223" s="47" t="s">
        <v>122</v>
      </c>
    </row>
    <row r="1224" spans="15:16" x14ac:dyDescent="0.2">
      <c r="O1224" s="37" t="s">
        <v>654</v>
      </c>
      <c r="P1224" s="46" t="s">
        <v>122</v>
      </c>
    </row>
    <row r="1225" spans="15:16" x14ac:dyDescent="0.2">
      <c r="O1225" s="38" t="s">
        <v>1219</v>
      </c>
      <c r="P1225" s="47" t="s">
        <v>122</v>
      </c>
    </row>
    <row r="1226" spans="15:16" x14ac:dyDescent="0.2">
      <c r="O1226" s="37" t="s">
        <v>1220</v>
      </c>
      <c r="P1226" s="46" t="s">
        <v>122</v>
      </c>
    </row>
    <row r="1227" spans="15:16" x14ac:dyDescent="0.2">
      <c r="O1227" s="38" t="s">
        <v>986</v>
      </c>
      <c r="P1227" s="47" t="s">
        <v>122</v>
      </c>
    </row>
    <row r="1228" spans="15:16" x14ac:dyDescent="0.2">
      <c r="O1228" s="37" t="s">
        <v>1221</v>
      </c>
      <c r="P1228" s="46" t="s">
        <v>122</v>
      </c>
    </row>
    <row r="1229" spans="15:16" x14ac:dyDescent="0.2">
      <c r="O1229" s="38" t="s">
        <v>1210</v>
      </c>
      <c r="P1229" s="47" t="s">
        <v>122</v>
      </c>
    </row>
    <row r="1230" spans="15:16" x14ac:dyDescent="0.2">
      <c r="O1230" s="37" t="s">
        <v>1222</v>
      </c>
      <c r="P1230" s="46" t="s">
        <v>121</v>
      </c>
    </row>
    <row r="1231" spans="15:16" x14ac:dyDescent="0.2">
      <c r="O1231" s="38" t="s">
        <v>1223</v>
      </c>
      <c r="P1231" s="47" t="s">
        <v>121</v>
      </c>
    </row>
    <row r="1232" spans="15:16" x14ac:dyDescent="0.2">
      <c r="O1232" s="37" t="s">
        <v>1224</v>
      </c>
      <c r="P1232" s="46" t="s">
        <v>121</v>
      </c>
    </row>
    <row r="1233" spans="15:16" x14ac:dyDescent="0.2">
      <c r="O1233" s="38" t="s">
        <v>1225</v>
      </c>
      <c r="P1233" s="47" t="s">
        <v>121</v>
      </c>
    </row>
    <row r="1234" spans="15:16" x14ac:dyDescent="0.2">
      <c r="O1234" s="37" t="s">
        <v>1226</v>
      </c>
      <c r="P1234" s="46" t="s">
        <v>121</v>
      </c>
    </row>
    <row r="1235" spans="15:16" x14ac:dyDescent="0.2">
      <c r="O1235" s="38" t="s">
        <v>1227</v>
      </c>
      <c r="P1235" s="47" t="s">
        <v>121</v>
      </c>
    </row>
    <row r="1236" spans="15:16" x14ac:dyDescent="0.2">
      <c r="O1236" s="37" t="s">
        <v>1228</v>
      </c>
      <c r="P1236" s="46" t="s">
        <v>121</v>
      </c>
    </row>
    <row r="1237" spans="15:16" x14ac:dyDescent="0.2">
      <c r="O1237" s="38" t="s">
        <v>1229</v>
      </c>
      <c r="P1237" s="47" t="s">
        <v>121</v>
      </c>
    </row>
    <row r="1238" spans="15:16" x14ac:dyDescent="0.2">
      <c r="O1238" s="37" t="s">
        <v>666</v>
      </c>
      <c r="P1238" s="46" t="s">
        <v>121</v>
      </c>
    </row>
    <row r="1239" spans="15:16" x14ac:dyDescent="0.2">
      <c r="O1239" s="38" t="s">
        <v>1230</v>
      </c>
      <c r="P1239" s="47" t="s">
        <v>121</v>
      </c>
    </row>
    <row r="1240" spans="15:16" x14ac:dyDescent="0.2">
      <c r="O1240" s="37" t="s">
        <v>720</v>
      </c>
      <c r="P1240" s="46" t="s">
        <v>121</v>
      </c>
    </row>
    <row r="1241" spans="15:16" x14ac:dyDescent="0.2">
      <c r="O1241" s="38" t="s">
        <v>1231</v>
      </c>
      <c r="P1241" s="47" t="s">
        <v>121</v>
      </c>
    </row>
    <row r="1242" spans="15:16" x14ac:dyDescent="0.2">
      <c r="O1242" s="37" t="s">
        <v>384</v>
      </c>
      <c r="P1242" s="46" t="s">
        <v>121</v>
      </c>
    </row>
    <row r="1243" spans="15:16" x14ac:dyDescent="0.2">
      <c r="O1243" s="38" t="s">
        <v>863</v>
      </c>
      <c r="P1243" s="47" t="s">
        <v>121</v>
      </c>
    </row>
    <row r="1244" spans="15:16" x14ac:dyDescent="0.2">
      <c r="O1244" s="37" t="s">
        <v>1232</v>
      </c>
      <c r="P1244" s="46" t="s">
        <v>121</v>
      </c>
    </row>
    <row r="1245" spans="15:16" x14ac:dyDescent="0.2">
      <c r="O1245" s="38" t="s">
        <v>1233</v>
      </c>
      <c r="P1245" s="47" t="s">
        <v>121</v>
      </c>
    </row>
    <row r="1246" spans="15:16" x14ac:dyDescent="0.2">
      <c r="O1246" s="37" t="s">
        <v>1234</v>
      </c>
      <c r="P1246" s="46" t="s">
        <v>121</v>
      </c>
    </row>
    <row r="1247" spans="15:16" x14ac:dyDescent="0.2">
      <c r="O1247" s="38" t="s">
        <v>1235</v>
      </c>
      <c r="P1247" s="47" t="s">
        <v>121</v>
      </c>
    </row>
    <row r="1248" spans="15:16" x14ac:dyDescent="0.2">
      <c r="O1248" s="37" t="s">
        <v>866</v>
      </c>
      <c r="P1248" s="46" t="s">
        <v>121</v>
      </c>
    </row>
    <row r="1249" spans="15:16" x14ac:dyDescent="0.2">
      <c r="O1249" s="38" t="s">
        <v>497</v>
      </c>
      <c r="P1249" s="47" t="s">
        <v>121</v>
      </c>
    </row>
    <row r="1250" spans="15:16" x14ac:dyDescent="0.2">
      <c r="O1250" s="37" t="s">
        <v>611</v>
      </c>
      <c r="P1250" s="46" t="s">
        <v>121</v>
      </c>
    </row>
    <row r="1251" spans="15:16" x14ac:dyDescent="0.2">
      <c r="O1251" s="38" t="s">
        <v>967</v>
      </c>
      <c r="P1251" s="47" t="s">
        <v>121</v>
      </c>
    </row>
    <row r="1252" spans="15:16" x14ac:dyDescent="0.2">
      <c r="O1252" s="37" t="s">
        <v>1236</v>
      </c>
      <c r="P1252" s="46" t="s">
        <v>121</v>
      </c>
    </row>
    <row r="1253" spans="15:16" x14ac:dyDescent="0.2">
      <c r="O1253" s="38" t="s">
        <v>969</v>
      </c>
      <c r="P1253" s="47" t="s">
        <v>121</v>
      </c>
    </row>
    <row r="1254" spans="15:16" x14ac:dyDescent="0.2">
      <c r="O1254" s="37" t="s">
        <v>1237</v>
      </c>
      <c r="P1254" s="46" t="s">
        <v>121</v>
      </c>
    </row>
    <row r="1255" spans="15:16" x14ac:dyDescent="0.2">
      <c r="O1255" s="38" t="s">
        <v>1238</v>
      </c>
      <c r="P1255" s="47" t="s">
        <v>121</v>
      </c>
    </row>
    <row r="1256" spans="15:16" x14ac:dyDescent="0.2">
      <c r="O1256" s="37" t="s">
        <v>1239</v>
      </c>
      <c r="P1256" s="46" t="s">
        <v>121</v>
      </c>
    </row>
    <row r="1257" spans="15:16" x14ac:dyDescent="0.2">
      <c r="O1257" s="38" t="s">
        <v>1240</v>
      </c>
      <c r="P1257" s="47" t="s">
        <v>121</v>
      </c>
    </row>
    <row r="1258" spans="15:16" x14ac:dyDescent="0.2">
      <c r="O1258" s="37" t="s">
        <v>1241</v>
      </c>
      <c r="P1258" s="46" t="s">
        <v>121</v>
      </c>
    </row>
    <row r="1259" spans="15:16" x14ac:dyDescent="0.2">
      <c r="O1259" s="38" t="s">
        <v>1242</v>
      </c>
      <c r="P1259" s="47" t="s">
        <v>121</v>
      </c>
    </row>
    <row r="1260" spans="15:16" x14ac:dyDescent="0.2">
      <c r="O1260" s="37" t="s">
        <v>1243</v>
      </c>
      <c r="P1260" s="46" t="s">
        <v>121</v>
      </c>
    </row>
    <row r="1261" spans="15:16" x14ac:dyDescent="0.2">
      <c r="O1261" s="38" t="s">
        <v>1244</v>
      </c>
      <c r="P1261" s="47" t="s">
        <v>121</v>
      </c>
    </row>
    <row r="1262" spans="15:16" x14ac:dyDescent="0.2">
      <c r="O1262" s="37" t="s">
        <v>1245</v>
      </c>
      <c r="P1262" s="46" t="s">
        <v>121</v>
      </c>
    </row>
    <row r="1263" spans="15:16" x14ac:dyDescent="0.2">
      <c r="O1263" s="38" t="s">
        <v>1246</v>
      </c>
      <c r="P1263" s="47" t="s">
        <v>121</v>
      </c>
    </row>
    <row r="1264" spans="15:16" x14ac:dyDescent="0.2">
      <c r="O1264" s="37" t="s">
        <v>1247</v>
      </c>
      <c r="P1264" s="46" t="s">
        <v>121</v>
      </c>
    </row>
    <row r="1265" spans="15:16" x14ac:dyDescent="0.2">
      <c r="O1265" s="38" t="s">
        <v>1248</v>
      </c>
      <c r="P1265" s="47" t="s">
        <v>121</v>
      </c>
    </row>
    <row r="1266" spans="15:16" x14ac:dyDescent="0.2">
      <c r="O1266" s="37" t="s">
        <v>1249</v>
      </c>
      <c r="P1266" s="46" t="s">
        <v>121</v>
      </c>
    </row>
    <row r="1267" spans="15:16" x14ac:dyDescent="0.2">
      <c r="O1267" s="38" t="s">
        <v>412</v>
      </c>
      <c r="P1267" s="47" t="s">
        <v>121</v>
      </c>
    </row>
    <row r="1268" spans="15:16" x14ac:dyDescent="0.2">
      <c r="O1268" s="37" t="s">
        <v>1250</v>
      </c>
      <c r="P1268" s="46" t="s">
        <v>121</v>
      </c>
    </row>
    <row r="1269" spans="15:16" x14ac:dyDescent="0.2">
      <c r="O1269" s="38" t="s">
        <v>1251</v>
      </c>
      <c r="P1269" s="47" t="s">
        <v>121</v>
      </c>
    </row>
    <row r="1270" spans="15:16" x14ac:dyDescent="0.2">
      <c r="O1270" s="37" t="s">
        <v>659</v>
      </c>
      <c r="P1270" s="46" t="s">
        <v>121</v>
      </c>
    </row>
    <row r="1271" spans="15:16" x14ac:dyDescent="0.2">
      <c r="O1271" s="38" t="s">
        <v>1252</v>
      </c>
      <c r="P1271" s="47" t="s">
        <v>121</v>
      </c>
    </row>
    <row r="1272" spans="15:16" x14ac:dyDescent="0.2">
      <c r="O1272" s="37" t="s">
        <v>557</v>
      </c>
      <c r="P1272" s="46" t="s">
        <v>121</v>
      </c>
    </row>
    <row r="1273" spans="15:16" x14ac:dyDescent="0.2">
      <c r="O1273" s="38" t="s">
        <v>1253</v>
      </c>
      <c r="P1273" s="47" t="s">
        <v>121</v>
      </c>
    </row>
    <row r="1274" spans="15:16" x14ac:dyDescent="0.2">
      <c r="O1274" s="37" t="s">
        <v>1254</v>
      </c>
      <c r="P1274" s="46" t="s">
        <v>121</v>
      </c>
    </row>
    <row r="1275" spans="15:16" x14ac:dyDescent="0.2">
      <c r="O1275" s="38" t="s">
        <v>1255</v>
      </c>
      <c r="P1275" s="47" t="s">
        <v>121</v>
      </c>
    </row>
    <row r="1276" spans="15:16" x14ac:dyDescent="0.2">
      <c r="O1276" s="37" t="s">
        <v>886</v>
      </c>
      <c r="P1276" s="46" t="s">
        <v>121</v>
      </c>
    </row>
    <row r="1277" spans="15:16" x14ac:dyDescent="0.2">
      <c r="O1277" s="38" t="s">
        <v>1256</v>
      </c>
      <c r="P1277" s="47" t="s">
        <v>121</v>
      </c>
    </row>
    <row r="1278" spans="15:16" x14ac:dyDescent="0.2">
      <c r="O1278" s="37" t="s">
        <v>1257</v>
      </c>
      <c r="P1278" s="46" t="s">
        <v>121</v>
      </c>
    </row>
    <row r="1279" spans="15:16" x14ac:dyDescent="0.2">
      <c r="O1279" s="38" t="s">
        <v>1258</v>
      </c>
      <c r="P1279" s="47" t="s">
        <v>121</v>
      </c>
    </row>
    <row r="1280" spans="15:16" x14ac:dyDescent="0.2">
      <c r="O1280" s="37" t="s">
        <v>1259</v>
      </c>
      <c r="P1280" s="46" t="s">
        <v>121</v>
      </c>
    </row>
    <row r="1281" spans="15:16" x14ac:dyDescent="0.2">
      <c r="O1281" s="38" t="s">
        <v>1260</v>
      </c>
      <c r="P1281" s="47" t="s">
        <v>121</v>
      </c>
    </row>
    <row r="1282" spans="15:16" x14ac:dyDescent="0.2">
      <c r="O1282" s="37" t="s">
        <v>891</v>
      </c>
      <c r="P1282" s="46" t="s">
        <v>121</v>
      </c>
    </row>
    <row r="1283" spans="15:16" x14ac:dyDescent="0.2">
      <c r="O1283" s="38" t="s">
        <v>1261</v>
      </c>
      <c r="P1283" s="47" t="s">
        <v>121</v>
      </c>
    </row>
    <row r="1284" spans="15:16" x14ac:dyDescent="0.2">
      <c r="O1284" s="37" t="s">
        <v>1262</v>
      </c>
      <c r="P1284" s="46" t="s">
        <v>121</v>
      </c>
    </row>
    <row r="1285" spans="15:16" x14ac:dyDescent="0.2">
      <c r="O1285" s="38" t="s">
        <v>1263</v>
      </c>
      <c r="P1285" s="47" t="s">
        <v>121</v>
      </c>
    </row>
    <row r="1286" spans="15:16" x14ac:dyDescent="0.2">
      <c r="O1286" s="37" t="s">
        <v>1264</v>
      </c>
      <c r="P1286" s="46" t="s">
        <v>121</v>
      </c>
    </row>
    <row r="1287" spans="15:16" x14ac:dyDescent="0.2">
      <c r="O1287" s="38" t="s">
        <v>426</v>
      </c>
      <c r="P1287" s="47" t="s">
        <v>121</v>
      </c>
    </row>
    <row r="1288" spans="15:16" x14ac:dyDescent="0.2">
      <c r="O1288" s="37" t="s">
        <v>1265</v>
      </c>
      <c r="P1288" s="46" t="s">
        <v>121</v>
      </c>
    </row>
    <row r="1289" spans="15:16" x14ac:dyDescent="0.2">
      <c r="O1289" s="38" t="s">
        <v>1266</v>
      </c>
      <c r="P1289" s="47" t="s">
        <v>121</v>
      </c>
    </row>
    <row r="1290" spans="15:16" x14ac:dyDescent="0.2">
      <c r="O1290" s="37" t="s">
        <v>1267</v>
      </c>
      <c r="P1290" s="46" t="s">
        <v>121</v>
      </c>
    </row>
    <row r="1291" spans="15:16" x14ac:dyDescent="0.2">
      <c r="O1291" s="38" t="s">
        <v>1268</v>
      </c>
      <c r="P1291" s="47" t="s">
        <v>121</v>
      </c>
    </row>
    <row r="1292" spans="15:16" x14ac:dyDescent="0.2">
      <c r="O1292" s="37" t="s">
        <v>1269</v>
      </c>
      <c r="P1292" s="46" t="s">
        <v>121</v>
      </c>
    </row>
    <row r="1293" spans="15:16" x14ac:dyDescent="0.2">
      <c r="O1293" s="38" t="s">
        <v>1270</v>
      </c>
      <c r="P1293" s="47" t="s">
        <v>121</v>
      </c>
    </row>
    <row r="1294" spans="15:16" x14ac:dyDescent="0.2">
      <c r="O1294" s="37" t="s">
        <v>1271</v>
      </c>
      <c r="P1294" s="46" t="s">
        <v>121</v>
      </c>
    </row>
    <row r="1295" spans="15:16" x14ac:dyDescent="0.2">
      <c r="O1295" s="38" t="s">
        <v>1272</v>
      </c>
      <c r="P1295" s="47" t="s">
        <v>121</v>
      </c>
    </row>
    <row r="1296" spans="15:16" x14ac:dyDescent="0.2">
      <c r="O1296" s="37" t="s">
        <v>698</v>
      </c>
      <c r="P1296" s="46" t="s">
        <v>121</v>
      </c>
    </row>
    <row r="1297" spans="15:16" x14ac:dyDescent="0.2">
      <c r="O1297" s="38" t="s">
        <v>1273</v>
      </c>
      <c r="P1297" s="47" t="s">
        <v>121</v>
      </c>
    </row>
    <row r="1298" spans="15:16" x14ac:dyDescent="0.2">
      <c r="O1298" s="37" t="s">
        <v>1274</v>
      </c>
      <c r="P1298" s="46" t="s">
        <v>121</v>
      </c>
    </row>
    <row r="1299" spans="15:16" x14ac:dyDescent="0.2">
      <c r="O1299" s="38" t="s">
        <v>1040</v>
      </c>
      <c r="P1299" s="47" t="s">
        <v>121</v>
      </c>
    </row>
    <row r="1300" spans="15:16" x14ac:dyDescent="0.2">
      <c r="O1300" s="37" t="s">
        <v>1275</v>
      </c>
      <c r="P1300" s="46" t="s">
        <v>121</v>
      </c>
    </row>
    <row r="1301" spans="15:16" x14ac:dyDescent="0.2">
      <c r="O1301" s="38" t="s">
        <v>1276</v>
      </c>
      <c r="P1301" s="47" t="s">
        <v>121</v>
      </c>
    </row>
    <row r="1302" spans="15:16" x14ac:dyDescent="0.2">
      <c r="O1302" s="37" t="s">
        <v>1277</v>
      </c>
      <c r="P1302" s="46" t="s">
        <v>121</v>
      </c>
    </row>
    <row r="1303" spans="15:16" x14ac:dyDescent="0.2">
      <c r="O1303" s="38" t="s">
        <v>434</v>
      </c>
      <c r="P1303" s="47" t="s">
        <v>121</v>
      </c>
    </row>
    <row r="1304" spans="15:16" x14ac:dyDescent="0.2">
      <c r="O1304" s="37" t="s">
        <v>940</v>
      </c>
      <c r="P1304" s="46" t="s">
        <v>121</v>
      </c>
    </row>
    <row r="1305" spans="15:16" x14ac:dyDescent="0.2">
      <c r="O1305" s="38" t="s">
        <v>1278</v>
      </c>
      <c r="P1305" s="47" t="s">
        <v>121</v>
      </c>
    </row>
    <row r="1306" spans="15:16" x14ac:dyDescent="0.2">
      <c r="O1306" s="37" t="s">
        <v>1279</v>
      </c>
      <c r="P1306" s="46" t="s">
        <v>121</v>
      </c>
    </row>
    <row r="1307" spans="15:16" x14ac:dyDescent="0.2">
      <c r="O1307" s="38" t="s">
        <v>1280</v>
      </c>
      <c r="P1307" s="47" t="s">
        <v>121</v>
      </c>
    </row>
    <row r="1308" spans="15:16" x14ac:dyDescent="0.2">
      <c r="O1308" s="37" t="s">
        <v>1281</v>
      </c>
      <c r="P1308" s="46" t="s">
        <v>121</v>
      </c>
    </row>
    <row r="1309" spans="15:16" x14ac:dyDescent="0.2">
      <c r="O1309" s="38" t="s">
        <v>537</v>
      </c>
      <c r="P1309" s="47" t="s">
        <v>121</v>
      </c>
    </row>
    <row r="1310" spans="15:16" x14ac:dyDescent="0.2">
      <c r="O1310" s="37" t="s">
        <v>1282</v>
      </c>
      <c r="P1310" s="46" t="s">
        <v>121</v>
      </c>
    </row>
    <row r="1311" spans="15:16" x14ac:dyDescent="0.2">
      <c r="O1311" s="38" t="s">
        <v>814</v>
      </c>
      <c r="P1311" s="47" t="s">
        <v>121</v>
      </c>
    </row>
    <row r="1312" spans="15:16" x14ac:dyDescent="0.2">
      <c r="O1312" s="37" t="s">
        <v>1283</v>
      </c>
      <c r="P1312" s="46" t="s">
        <v>121</v>
      </c>
    </row>
    <row r="1313" spans="15:16" x14ac:dyDescent="0.2">
      <c r="O1313" s="38" t="s">
        <v>1284</v>
      </c>
      <c r="P1313" s="47" t="s">
        <v>120</v>
      </c>
    </row>
    <row r="1314" spans="15:16" x14ac:dyDescent="0.2">
      <c r="O1314" s="37" t="s">
        <v>1285</v>
      </c>
      <c r="P1314" s="46" t="s">
        <v>120</v>
      </c>
    </row>
    <row r="1315" spans="15:16" x14ac:dyDescent="0.2">
      <c r="O1315" s="38" t="s">
        <v>1286</v>
      </c>
      <c r="P1315" s="47" t="s">
        <v>120</v>
      </c>
    </row>
    <row r="1316" spans="15:16" x14ac:dyDescent="0.2">
      <c r="O1316" s="37" t="s">
        <v>1287</v>
      </c>
      <c r="P1316" s="46" t="s">
        <v>120</v>
      </c>
    </row>
    <row r="1317" spans="15:16" x14ac:dyDescent="0.2">
      <c r="O1317" s="38" t="s">
        <v>487</v>
      </c>
      <c r="P1317" s="47" t="s">
        <v>120</v>
      </c>
    </row>
    <row r="1318" spans="15:16" x14ac:dyDescent="0.2">
      <c r="O1318" s="37" t="s">
        <v>1288</v>
      </c>
      <c r="P1318" s="46" t="s">
        <v>120</v>
      </c>
    </row>
    <row r="1319" spans="15:16" x14ac:dyDescent="0.2">
      <c r="O1319" s="38" t="s">
        <v>1289</v>
      </c>
      <c r="P1319" s="47" t="s">
        <v>120</v>
      </c>
    </row>
    <row r="1320" spans="15:16" x14ac:dyDescent="0.2">
      <c r="O1320" s="37" t="s">
        <v>861</v>
      </c>
      <c r="P1320" s="46" t="s">
        <v>120</v>
      </c>
    </row>
    <row r="1321" spans="15:16" x14ac:dyDescent="0.2">
      <c r="O1321" s="38" t="s">
        <v>1290</v>
      </c>
      <c r="P1321" s="47" t="s">
        <v>120</v>
      </c>
    </row>
    <row r="1322" spans="15:16" x14ac:dyDescent="0.2">
      <c r="O1322" s="37" t="s">
        <v>1291</v>
      </c>
      <c r="P1322" s="46" t="s">
        <v>120</v>
      </c>
    </row>
    <row r="1323" spans="15:16" x14ac:dyDescent="0.2">
      <c r="O1323" s="38" t="s">
        <v>863</v>
      </c>
      <c r="P1323" s="47" t="s">
        <v>120</v>
      </c>
    </row>
    <row r="1324" spans="15:16" x14ac:dyDescent="0.2">
      <c r="O1324" s="37" t="s">
        <v>1234</v>
      </c>
      <c r="P1324" s="46" t="s">
        <v>120</v>
      </c>
    </row>
    <row r="1325" spans="15:16" x14ac:dyDescent="0.2">
      <c r="O1325" s="38" t="s">
        <v>1292</v>
      </c>
      <c r="P1325" s="47" t="s">
        <v>120</v>
      </c>
    </row>
    <row r="1326" spans="15:16" x14ac:dyDescent="0.2">
      <c r="O1326" s="37" t="s">
        <v>390</v>
      </c>
      <c r="P1326" s="46" t="s">
        <v>120</v>
      </c>
    </row>
    <row r="1327" spans="15:16" x14ac:dyDescent="0.2">
      <c r="O1327" s="38" t="s">
        <v>840</v>
      </c>
      <c r="P1327" s="47" t="s">
        <v>120</v>
      </c>
    </row>
    <row r="1328" spans="15:16" x14ac:dyDescent="0.2">
      <c r="O1328" s="37" t="s">
        <v>739</v>
      </c>
      <c r="P1328" s="46" t="s">
        <v>120</v>
      </c>
    </row>
    <row r="1329" spans="15:16" x14ac:dyDescent="0.2">
      <c r="O1329" s="38" t="s">
        <v>1293</v>
      </c>
      <c r="P1329" s="47" t="s">
        <v>120</v>
      </c>
    </row>
    <row r="1330" spans="15:16" x14ac:dyDescent="0.2">
      <c r="O1330" s="37" t="s">
        <v>1294</v>
      </c>
      <c r="P1330" s="46" t="s">
        <v>120</v>
      </c>
    </row>
    <row r="1331" spans="15:16" x14ac:dyDescent="0.2">
      <c r="O1331" s="38" t="s">
        <v>1295</v>
      </c>
      <c r="P1331" s="47" t="s">
        <v>120</v>
      </c>
    </row>
    <row r="1332" spans="15:16" x14ac:dyDescent="0.2">
      <c r="O1332" s="37" t="s">
        <v>745</v>
      </c>
      <c r="P1332" s="46" t="s">
        <v>120</v>
      </c>
    </row>
    <row r="1333" spans="15:16" x14ac:dyDescent="0.2">
      <c r="O1333" s="38" t="s">
        <v>614</v>
      </c>
      <c r="P1333" s="47" t="s">
        <v>120</v>
      </c>
    </row>
    <row r="1334" spans="15:16" x14ac:dyDescent="0.2">
      <c r="O1334" s="37" t="s">
        <v>1296</v>
      </c>
      <c r="P1334" s="46" t="s">
        <v>120</v>
      </c>
    </row>
    <row r="1335" spans="15:16" x14ac:dyDescent="0.2">
      <c r="O1335" s="38" t="s">
        <v>1297</v>
      </c>
      <c r="P1335" s="47" t="s">
        <v>120</v>
      </c>
    </row>
    <row r="1336" spans="15:16" x14ac:dyDescent="0.2">
      <c r="O1336" s="37" t="s">
        <v>1298</v>
      </c>
      <c r="P1336" s="46" t="s">
        <v>120</v>
      </c>
    </row>
    <row r="1337" spans="15:16" x14ac:dyDescent="0.2">
      <c r="O1337" s="38" t="s">
        <v>1299</v>
      </c>
      <c r="P1337" s="47" t="s">
        <v>120</v>
      </c>
    </row>
    <row r="1338" spans="15:16" x14ac:dyDescent="0.2">
      <c r="O1338" s="37" t="s">
        <v>505</v>
      </c>
      <c r="P1338" s="46" t="s">
        <v>120</v>
      </c>
    </row>
    <row r="1339" spans="15:16" x14ac:dyDescent="0.2">
      <c r="O1339" s="38" t="s">
        <v>1300</v>
      </c>
      <c r="P1339" s="47" t="s">
        <v>120</v>
      </c>
    </row>
    <row r="1340" spans="15:16" x14ac:dyDescent="0.2">
      <c r="O1340" s="37" t="s">
        <v>411</v>
      </c>
      <c r="P1340" s="46" t="s">
        <v>120</v>
      </c>
    </row>
    <row r="1341" spans="15:16" x14ac:dyDescent="0.2">
      <c r="O1341" s="38" t="s">
        <v>1301</v>
      </c>
      <c r="P1341" s="47" t="s">
        <v>120</v>
      </c>
    </row>
    <row r="1342" spans="15:16" x14ac:dyDescent="0.2">
      <c r="O1342" s="37" t="s">
        <v>1302</v>
      </c>
      <c r="P1342" s="46" t="s">
        <v>120</v>
      </c>
    </row>
    <row r="1343" spans="15:16" x14ac:dyDescent="0.2">
      <c r="O1343" s="38" t="s">
        <v>1303</v>
      </c>
      <c r="P1343" s="47" t="s">
        <v>120</v>
      </c>
    </row>
    <row r="1344" spans="15:16" x14ac:dyDescent="0.2">
      <c r="O1344" s="37" t="s">
        <v>412</v>
      </c>
      <c r="P1344" s="46" t="s">
        <v>120</v>
      </c>
    </row>
    <row r="1345" spans="15:16" x14ac:dyDescent="0.2">
      <c r="O1345" s="38" t="s">
        <v>1304</v>
      </c>
      <c r="P1345" s="47" t="s">
        <v>120</v>
      </c>
    </row>
    <row r="1346" spans="15:16" x14ac:dyDescent="0.2">
      <c r="O1346" s="37" t="s">
        <v>1305</v>
      </c>
      <c r="P1346" s="46" t="s">
        <v>120</v>
      </c>
    </row>
    <row r="1347" spans="15:16" x14ac:dyDescent="0.2">
      <c r="O1347" s="38" t="s">
        <v>1306</v>
      </c>
      <c r="P1347" s="47" t="s">
        <v>120</v>
      </c>
    </row>
    <row r="1348" spans="15:16" x14ac:dyDescent="0.2">
      <c r="O1348" s="37" t="s">
        <v>1307</v>
      </c>
      <c r="P1348" s="46" t="s">
        <v>120</v>
      </c>
    </row>
    <row r="1349" spans="15:16" x14ac:dyDescent="0.2">
      <c r="O1349" s="38" t="s">
        <v>1308</v>
      </c>
      <c r="P1349" s="47" t="s">
        <v>120</v>
      </c>
    </row>
    <row r="1350" spans="15:16" x14ac:dyDescent="0.2">
      <c r="O1350" s="37" t="s">
        <v>557</v>
      </c>
      <c r="P1350" s="46" t="s">
        <v>120</v>
      </c>
    </row>
    <row r="1351" spans="15:16" x14ac:dyDescent="0.2">
      <c r="O1351" s="38" t="s">
        <v>1309</v>
      </c>
      <c r="P1351" s="47" t="s">
        <v>120</v>
      </c>
    </row>
    <row r="1352" spans="15:16" x14ac:dyDescent="0.2">
      <c r="O1352" s="37" t="s">
        <v>1310</v>
      </c>
      <c r="P1352" s="46" t="s">
        <v>120</v>
      </c>
    </row>
    <row r="1353" spans="15:16" x14ac:dyDescent="0.2">
      <c r="O1353" s="38" t="s">
        <v>513</v>
      </c>
      <c r="P1353" s="47" t="s">
        <v>120</v>
      </c>
    </row>
    <row r="1354" spans="15:16" x14ac:dyDescent="0.2">
      <c r="O1354" s="37" t="s">
        <v>978</v>
      </c>
      <c r="P1354" s="46" t="s">
        <v>120</v>
      </c>
    </row>
    <row r="1355" spans="15:16" x14ac:dyDescent="0.2">
      <c r="O1355" s="38" t="s">
        <v>1311</v>
      </c>
      <c r="P1355" s="47" t="s">
        <v>120</v>
      </c>
    </row>
    <row r="1356" spans="15:16" x14ac:dyDescent="0.2">
      <c r="O1356" s="37" t="s">
        <v>1312</v>
      </c>
      <c r="P1356" s="46" t="s">
        <v>120</v>
      </c>
    </row>
    <row r="1357" spans="15:16" x14ac:dyDescent="0.2">
      <c r="O1357" s="38" t="s">
        <v>424</v>
      </c>
      <c r="P1357" s="47" t="s">
        <v>120</v>
      </c>
    </row>
    <row r="1358" spans="15:16" x14ac:dyDescent="0.2">
      <c r="O1358" s="37" t="s">
        <v>694</v>
      </c>
      <c r="P1358" s="46" t="s">
        <v>120</v>
      </c>
    </row>
    <row r="1359" spans="15:16" x14ac:dyDescent="0.2">
      <c r="O1359" s="38" t="s">
        <v>1313</v>
      </c>
      <c r="P1359" s="47" t="s">
        <v>120</v>
      </c>
    </row>
    <row r="1360" spans="15:16" x14ac:dyDescent="0.2">
      <c r="O1360" s="37" t="s">
        <v>1314</v>
      </c>
      <c r="P1360" s="46" t="s">
        <v>120</v>
      </c>
    </row>
    <row r="1361" spans="15:16" x14ac:dyDescent="0.2">
      <c r="O1361" s="38" t="s">
        <v>1315</v>
      </c>
      <c r="P1361" s="47" t="s">
        <v>120</v>
      </c>
    </row>
    <row r="1362" spans="15:16" x14ac:dyDescent="0.2">
      <c r="O1362" s="37" t="s">
        <v>1316</v>
      </c>
      <c r="P1362" s="46" t="s">
        <v>120</v>
      </c>
    </row>
    <row r="1363" spans="15:16" x14ac:dyDescent="0.2">
      <c r="O1363" s="38" t="s">
        <v>782</v>
      </c>
      <c r="P1363" s="47" t="s">
        <v>120</v>
      </c>
    </row>
    <row r="1364" spans="15:16" x14ac:dyDescent="0.2">
      <c r="O1364" s="37" t="s">
        <v>1317</v>
      </c>
      <c r="P1364" s="46" t="s">
        <v>120</v>
      </c>
    </row>
    <row r="1365" spans="15:16" x14ac:dyDescent="0.2">
      <c r="O1365" s="38" t="s">
        <v>1318</v>
      </c>
      <c r="P1365" s="47" t="s">
        <v>120</v>
      </c>
    </row>
    <row r="1366" spans="15:16" x14ac:dyDescent="0.2">
      <c r="O1366" s="37" t="s">
        <v>1319</v>
      </c>
      <c r="P1366" s="46" t="s">
        <v>120</v>
      </c>
    </row>
    <row r="1367" spans="15:16" x14ac:dyDescent="0.2">
      <c r="O1367" s="38" t="s">
        <v>1320</v>
      </c>
      <c r="P1367" s="47" t="s">
        <v>120</v>
      </c>
    </row>
    <row r="1368" spans="15:16" x14ac:dyDescent="0.2">
      <c r="O1368" s="37" t="s">
        <v>1321</v>
      </c>
      <c r="P1368" s="46" t="s">
        <v>120</v>
      </c>
    </row>
    <row r="1369" spans="15:16" x14ac:dyDescent="0.2">
      <c r="O1369" s="38" t="s">
        <v>1322</v>
      </c>
      <c r="P1369" s="47" t="s">
        <v>120</v>
      </c>
    </row>
    <row r="1370" spans="15:16" x14ac:dyDescent="0.2">
      <c r="O1370" s="37" t="s">
        <v>1323</v>
      </c>
      <c r="P1370" s="46" t="s">
        <v>120</v>
      </c>
    </row>
    <row r="1371" spans="15:16" x14ac:dyDescent="0.2">
      <c r="O1371" s="38" t="s">
        <v>1324</v>
      </c>
      <c r="P1371" s="47" t="s">
        <v>120</v>
      </c>
    </row>
    <row r="1372" spans="15:16" x14ac:dyDescent="0.2">
      <c r="O1372" s="37" t="s">
        <v>524</v>
      </c>
      <c r="P1372" s="46" t="s">
        <v>120</v>
      </c>
    </row>
    <row r="1373" spans="15:16" x14ac:dyDescent="0.2">
      <c r="O1373" s="38" t="s">
        <v>525</v>
      </c>
      <c r="P1373" s="47" t="s">
        <v>120</v>
      </c>
    </row>
    <row r="1374" spans="15:16" x14ac:dyDescent="0.2">
      <c r="O1374" s="37" t="s">
        <v>1325</v>
      </c>
      <c r="P1374" s="46" t="s">
        <v>120</v>
      </c>
    </row>
    <row r="1375" spans="15:16" x14ac:dyDescent="0.2">
      <c r="O1375" s="38" t="s">
        <v>1326</v>
      </c>
      <c r="P1375" s="47" t="s">
        <v>120</v>
      </c>
    </row>
    <row r="1376" spans="15:16" x14ac:dyDescent="0.2">
      <c r="O1376" s="37" t="s">
        <v>1327</v>
      </c>
      <c r="P1376" s="46" t="s">
        <v>120</v>
      </c>
    </row>
    <row r="1377" spans="15:16" x14ac:dyDescent="0.2">
      <c r="O1377" s="38" t="s">
        <v>1328</v>
      </c>
      <c r="P1377" s="47" t="s">
        <v>120</v>
      </c>
    </row>
    <row r="1378" spans="15:16" x14ac:dyDescent="0.2">
      <c r="O1378" s="37" t="s">
        <v>1047</v>
      </c>
      <c r="P1378" s="46" t="s">
        <v>120</v>
      </c>
    </row>
    <row r="1379" spans="15:16" x14ac:dyDescent="0.2">
      <c r="O1379" s="38" t="s">
        <v>1329</v>
      </c>
      <c r="P1379" s="47" t="s">
        <v>120</v>
      </c>
    </row>
    <row r="1380" spans="15:16" x14ac:dyDescent="0.2">
      <c r="O1380" s="37" t="s">
        <v>1330</v>
      </c>
      <c r="P1380" s="46" t="s">
        <v>120</v>
      </c>
    </row>
    <row r="1381" spans="15:16" x14ac:dyDescent="0.2">
      <c r="O1381" s="38" t="s">
        <v>1331</v>
      </c>
      <c r="P1381" s="47" t="s">
        <v>120</v>
      </c>
    </row>
    <row r="1382" spans="15:16" x14ac:dyDescent="0.2">
      <c r="O1382" s="37" t="s">
        <v>530</v>
      </c>
      <c r="P1382" s="46" t="s">
        <v>120</v>
      </c>
    </row>
    <row r="1383" spans="15:16" x14ac:dyDescent="0.2">
      <c r="O1383" s="38" t="s">
        <v>1332</v>
      </c>
      <c r="P1383" s="47" t="s">
        <v>120</v>
      </c>
    </row>
    <row r="1384" spans="15:16" x14ac:dyDescent="0.2">
      <c r="O1384" s="37" t="s">
        <v>1333</v>
      </c>
      <c r="P1384" s="46" t="s">
        <v>120</v>
      </c>
    </row>
    <row r="1385" spans="15:16" x14ac:dyDescent="0.2">
      <c r="O1385" s="38" t="s">
        <v>1334</v>
      </c>
      <c r="P1385" s="47" t="s">
        <v>120</v>
      </c>
    </row>
    <row r="1386" spans="15:16" x14ac:dyDescent="0.2">
      <c r="O1386" s="37" t="s">
        <v>1335</v>
      </c>
      <c r="P1386" s="46" t="s">
        <v>120</v>
      </c>
    </row>
    <row r="1387" spans="15:16" x14ac:dyDescent="0.2">
      <c r="O1387" s="38" t="s">
        <v>1057</v>
      </c>
      <c r="P1387" s="47" t="s">
        <v>120</v>
      </c>
    </row>
    <row r="1388" spans="15:16" x14ac:dyDescent="0.2">
      <c r="O1388" s="37" t="s">
        <v>1336</v>
      </c>
      <c r="P1388" s="46" t="s">
        <v>120</v>
      </c>
    </row>
    <row r="1389" spans="15:16" x14ac:dyDescent="0.2">
      <c r="O1389" s="38" t="s">
        <v>1117</v>
      </c>
      <c r="P1389" s="47" t="s">
        <v>120</v>
      </c>
    </row>
    <row r="1390" spans="15:16" x14ac:dyDescent="0.2">
      <c r="O1390" s="37" t="s">
        <v>1337</v>
      </c>
      <c r="P1390" s="46" t="s">
        <v>120</v>
      </c>
    </row>
    <row r="1391" spans="15:16" x14ac:dyDescent="0.2">
      <c r="O1391" s="38" t="s">
        <v>1338</v>
      </c>
      <c r="P1391" s="47" t="s">
        <v>120</v>
      </c>
    </row>
    <row r="1392" spans="15:16" x14ac:dyDescent="0.2">
      <c r="O1392" s="37" t="s">
        <v>1339</v>
      </c>
      <c r="P1392" s="46" t="s">
        <v>120</v>
      </c>
    </row>
    <row r="1393" spans="15:16" x14ac:dyDescent="0.2">
      <c r="O1393" s="38" t="s">
        <v>1340</v>
      </c>
      <c r="P1393" s="47" t="s">
        <v>120</v>
      </c>
    </row>
    <row r="1394" spans="15:16" x14ac:dyDescent="0.2">
      <c r="O1394" s="37" t="s">
        <v>441</v>
      </c>
      <c r="P1394" s="46" t="s">
        <v>120</v>
      </c>
    </row>
    <row r="1395" spans="15:16" x14ac:dyDescent="0.2">
      <c r="O1395" s="38" t="s">
        <v>1341</v>
      </c>
      <c r="P1395" s="47" t="s">
        <v>120</v>
      </c>
    </row>
    <row r="1396" spans="15:16" x14ac:dyDescent="0.2">
      <c r="O1396" s="37" t="s">
        <v>1342</v>
      </c>
      <c r="P1396" s="46" t="s">
        <v>120</v>
      </c>
    </row>
    <row r="1397" spans="15:16" x14ac:dyDescent="0.2">
      <c r="O1397" s="38" t="s">
        <v>1343</v>
      </c>
      <c r="P1397" s="47" t="s">
        <v>120</v>
      </c>
    </row>
    <row r="1398" spans="15:16" x14ac:dyDescent="0.2">
      <c r="O1398" s="37" t="s">
        <v>998</v>
      </c>
      <c r="P1398" s="46" t="s">
        <v>120</v>
      </c>
    </row>
    <row r="1399" spans="15:16" x14ac:dyDescent="0.2">
      <c r="O1399" s="38" t="s">
        <v>1344</v>
      </c>
      <c r="P1399" s="47" t="s">
        <v>120</v>
      </c>
    </row>
    <row r="1400" spans="15:16" x14ac:dyDescent="0.2">
      <c r="O1400" s="37" t="s">
        <v>597</v>
      </c>
      <c r="P1400" s="46" t="s">
        <v>119</v>
      </c>
    </row>
    <row r="1401" spans="15:16" x14ac:dyDescent="0.2">
      <c r="O1401" s="38" t="s">
        <v>1345</v>
      </c>
      <c r="P1401" s="47" t="s">
        <v>119</v>
      </c>
    </row>
    <row r="1402" spans="15:16" x14ac:dyDescent="0.2">
      <c r="O1402" s="37" t="s">
        <v>1346</v>
      </c>
      <c r="P1402" s="46" t="s">
        <v>119</v>
      </c>
    </row>
    <row r="1403" spans="15:16" x14ac:dyDescent="0.2">
      <c r="O1403" s="38" t="s">
        <v>1347</v>
      </c>
      <c r="P1403" s="47" t="s">
        <v>119</v>
      </c>
    </row>
    <row r="1404" spans="15:16" x14ac:dyDescent="0.2">
      <c r="O1404" s="37" t="s">
        <v>487</v>
      </c>
      <c r="P1404" s="46" t="s">
        <v>119</v>
      </c>
    </row>
    <row r="1405" spans="15:16" x14ac:dyDescent="0.2">
      <c r="O1405" s="38" t="s">
        <v>1348</v>
      </c>
      <c r="P1405" s="47" t="s">
        <v>119</v>
      </c>
    </row>
    <row r="1406" spans="15:16" x14ac:dyDescent="0.2">
      <c r="O1406" s="37" t="s">
        <v>384</v>
      </c>
      <c r="P1406" s="46" t="s">
        <v>119</v>
      </c>
    </row>
    <row r="1407" spans="15:16" x14ac:dyDescent="0.2">
      <c r="O1407" s="38" t="s">
        <v>490</v>
      </c>
      <c r="P1407" s="47" t="s">
        <v>119</v>
      </c>
    </row>
    <row r="1408" spans="15:16" x14ac:dyDescent="0.2">
      <c r="O1408" s="37" t="s">
        <v>964</v>
      </c>
      <c r="P1408" s="46" t="s">
        <v>119</v>
      </c>
    </row>
    <row r="1409" spans="15:16" x14ac:dyDescent="0.2">
      <c r="O1409" s="38" t="s">
        <v>388</v>
      </c>
      <c r="P1409" s="47" t="s">
        <v>119</v>
      </c>
    </row>
    <row r="1410" spans="15:16" x14ac:dyDescent="0.2">
      <c r="O1410" s="37" t="s">
        <v>1349</v>
      </c>
      <c r="P1410" s="46" t="s">
        <v>119</v>
      </c>
    </row>
    <row r="1411" spans="15:16" x14ac:dyDescent="0.2">
      <c r="O1411" s="38" t="s">
        <v>389</v>
      </c>
      <c r="P1411" s="47" t="s">
        <v>119</v>
      </c>
    </row>
    <row r="1412" spans="15:16" x14ac:dyDescent="0.2">
      <c r="O1412" s="37" t="s">
        <v>390</v>
      </c>
      <c r="P1412" s="46" t="s">
        <v>119</v>
      </c>
    </row>
    <row r="1413" spans="15:16" x14ac:dyDescent="0.2">
      <c r="O1413" s="38" t="s">
        <v>1350</v>
      </c>
      <c r="P1413" s="47" t="s">
        <v>119</v>
      </c>
    </row>
    <row r="1414" spans="15:16" x14ac:dyDescent="0.2">
      <c r="O1414" s="37" t="s">
        <v>1351</v>
      </c>
      <c r="P1414" s="46" t="s">
        <v>119</v>
      </c>
    </row>
    <row r="1415" spans="15:16" x14ac:dyDescent="0.2">
      <c r="O1415" s="38" t="s">
        <v>396</v>
      </c>
      <c r="P1415" s="47" t="s">
        <v>119</v>
      </c>
    </row>
    <row r="1416" spans="15:16" x14ac:dyDescent="0.2">
      <c r="O1416" s="37" t="s">
        <v>1352</v>
      </c>
      <c r="P1416" s="46" t="s">
        <v>119</v>
      </c>
    </row>
    <row r="1417" spans="15:16" x14ac:dyDescent="0.2">
      <c r="O1417" s="38" t="s">
        <v>1353</v>
      </c>
      <c r="P1417" s="47" t="s">
        <v>119</v>
      </c>
    </row>
    <row r="1418" spans="15:16" x14ac:dyDescent="0.2">
      <c r="O1418" s="37" t="s">
        <v>406</v>
      </c>
      <c r="P1418" s="46" t="s">
        <v>119</v>
      </c>
    </row>
    <row r="1419" spans="15:16" x14ac:dyDescent="0.2">
      <c r="O1419" s="38" t="s">
        <v>1354</v>
      </c>
      <c r="P1419" s="47" t="s">
        <v>119</v>
      </c>
    </row>
    <row r="1420" spans="15:16" x14ac:dyDescent="0.2">
      <c r="O1420" s="37" t="s">
        <v>408</v>
      </c>
      <c r="P1420" s="46" t="s">
        <v>119</v>
      </c>
    </row>
    <row r="1421" spans="15:16" x14ac:dyDescent="0.2">
      <c r="O1421" s="38" t="s">
        <v>1355</v>
      </c>
      <c r="P1421" s="47" t="s">
        <v>119</v>
      </c>
    </row>
    <row r="1422" spans="15:16" x14ac:dyDescent="0.2">
      <c r="O1422" s="37" t="s">
        <v>764</v>
      </c>
      <c r="P1422" s="46" t="s">
        <v>119</v>
      </c>
    </row>
    <row r="1423" spans="15:16" x14ac:dyDescent="0.2">
      <c r="O1423" s="38" t="s">
        <v>923</v>
      </c>
      <c r="P1423" s="47" t="s">
        <v>119</v>
      </c>
    </row>
    <row r="1424" spans="15:16" x14ac:dyDescent="0.2">
      <c r="O1424" s="37" t="s">
        <v>1356</v>
      </c>
      <c r="P1424" s="46" t="s">
        <v>119</v>
      </c>
    </row>
    <row r="1425" spans="15:16" x14ac:dyDescent="0.2">
      <c r="O1425" s="38" t="s">
        <v>688</v>
      </c>
      <c r="P1425" s="47" t="s">
        <v>119</v>
      </c>
    </row>
    <row r="1426" spans="15:16" x14ac:dyDescent="0.2">
      <c r="O1426" s="37" t="s">
        <v>1357</v>
      </c>
      <c r="P1426" s="46" t="s">
        <v>119</v>
      </c>
    </row>
    <row r="1427" spans="15:16" x14ac:dyDescent="0.2">
      <c r="O1427" s="38" t="s">
        <v>1358</v>
      </c>
      <c r="P1427" s="47" t="s">
        <v>119</v>
      </c>
    </row>
    <row r="1428" spans="15:16" x14ac:dyDescent="0.2">
      <c r="O1428" s="37" t="s">
        <v>1359</v>
      </c>
      <c r="P1428" s="46" t="s">
        <v>119</v>
      </c>
    </row>
    <row r="1429" spans="15:16" x14ac:dyDescent="0.2">
      <c r="O1429" s="38" t="s">
        <v>412</v>
      </c>
      <c r="P1429" s="47" t="s">
        <v>119</v>
      </c>
    </row>
    <row r="1430" spans="15:16" x14ac:dyDescent="0.2">
      <c r="O1430" s="37" t="s">
        <v>770</v>
      </c>
      <c r="P1430" s="46" t="s">
        <v>119</v>
      </c>
    </row>
    <row r="1431" spans="15:16" x14ac:dyDescent="0.2">
      <c r="O1431" s="38" t="s">
        <v>413</v>
      </c>
      <c r="P1431" s="47" t="s">
        <v>119</v>
      </c>
    </row>
    <row r="1432" spans="15:16" x14ac:dyDescent="0.2">
      <c r="O1432" s="37" t="s">
        <v>1360</v>
      </c>
      <c r="P1432" s="46" t="s">
        <v>119</v>
      </c>
    </row>
    <row r="1433" spans="15:16" x14ac:dyDescent="0.2">
      <c r="O1433" s="38" t="s">
        <v>773</v>
      </c>
      <c r="P1433" s="47" t="s">
        <v>119</v>
      </c>
    </row>
    <row r="1434" spans="15:16" x14ac:dyDescent="0.2">
      <c r="O1434" s="37" t="s">
        <v>1361</v>
      </c>
      <c r="P1434" s="46" t="s">
        <v>119</v>
      </c>
    </row>
    <row r="1435" spans="15:16" x14ac:dyDescent="0.2">
      <c r="O1435" s="38" t="s">
        <v>512</v>
      </c>
      <c r="P1435" s="47" t="s">
        <v>119</v>
      </c>
    </row>
    <row r="1436" spans="15:16" x14ac:dyDescent="0.2">
      <c r="O1436" s="37" t="s">
        <v>414</v>
      </c>
      <c r="P1436" s="46" t="s">
        <v>119</v>
      </c>
    </row>
    <row r="1437" spans="15:16" x14ac:dyDescent="0.2">
      <c r="O1437" s="38" t="s">
        <v>415</v>
      </c>
      <c r="P1437" s="47" t="s">
        <v>119</v>
      </c>
    </row>
    <row r="1438" spans="15:16" x14ac:dyDescent="0.2">
      <c r="O1438" s="37" t="s">
        <v>416</v>
      </c>
      <c r="P1438" s="46" t="s">
        <v>119</v>
      </c>
    </row>
    <row r="1439" spans="15:16" x14ac:dyDescent="0.2">
      <c r="O1439" s="38" t="s">
        <v>1362</v>
      </c>
      <c r="P1439" s="47" t="s">
        <v>119</v>
      </c>
    </row>
    <row r="1440" spans="15:16" x14ac:dyDescent="0.2">
      <c r="O1440" s="37" t="s">
        <v>417</v>
      </c>
      <c r="P1440" s="46" t="s">
        <v>119</v>
      </c>
    </row>
    <row r="1441" spans="15:16" x14ac:dyDescent="0.2">
      <c r="O1441" s="38" t="s">
        <v>1363</v>
      </c>
      <c r="P1441" s="47" t="s">
        <v>119</v>
      </c>
    </row>
    <row r="1442" spans="15:16" x14ac:dyDescent="0.2">
      <c r="O1442" s="37" t="s">
        <v>513</v>
      </c>
      <c r="P1442" s="46" t="s">
        <v>119</v>
      </c>
    </row>
    <row r="1443" spans="15:16" x14ac:dyDescent="0.2">
      <c r="O1443" s="38" t="s">
        <v>419</v>
      </c>
      <c r="P1443" s="47" t="s">
        <v>119</v>
      </c>
    </row>
    <row r="1444" spans="15:16" x14ac:dyDescent="0.2">
      <c r="O1444" s="37" t="s">
        <v>421</v>
      </c>
      <c r="P1444" s="46" t="s">
        <v>119</v>
      </c>
    </row>
    <row r="1445" spans="15:16" x14ac:dyDescent="0.2">
      <c r="O1445" s="38" t="s">
        <v>423</v>
      </c>
      <c r="P1445" s="47" t="s">
        <v>119</v>
      </c>
    </row>
    <row r="1446" spans="15:16" x14ac:dyDescent="0.2">
      <c r="O1446" s="37" t="s">
        <v>424</v>
      </c>
      <c r="P1446" s="46" t="s">
        <v>119</v>
      </c>
    </row>
    <row r="1447" spans="15:16" x14ac:dyDescent="0.2">
      <c r="O1447" s="38" t="s">
        <v>426</v>
      </c>
      <c r="P1447" s="47" t="s">
        <v>119</v>
      </c>
    </row>
    <row r="1448" spans="15:16" x14ac:dyDescent="0.2">
      <c r="O1448" s="37" t="s">
        <v>427</v>
      </c>
      <c r="P1448" s="46" t="s">
        <v>119</v>
      </c>
    </row>
    <row r="1449" spans="15:16" x14ac:dyDescent="0.2">
      <c r="O1449" s="38" t="s">
        <v>1364</v>
      </c>
      <c r="P1449" s="47" t="s">
        <v>119</v>
      </c>
    </row>
    <row r="1450" spans="15:16" x14ac:dyDescent="0.2">
      <c r="O1450" s="37" t="s">
        <v>520</v>
      </c>
      <c r="P1450" s="46" t="s">
        <v>119</v>
      </c>
    </row>
    <row r="1451" spans="15:16" x14ac:dyDescent="0.2">
      <c r="O1451" s="38" t="s">
        <v>1365</v>
      </c>
      <c r="P1451" s="47" t="s">
        <v>119</v>
      </c>
    </row>
    <row r="1452" spans="15:16" x14ac:dyDescent="0.2">
      <c r="O1452" s="37" t="s">
        <v>1366</v>
      </c>
      <c r="P1452" s="46" t="s">
        <v>119</v>
      </c>
    </row>
    <row r="1453" spans="15:16" x14ac:dyDescent="0.2">
      <c r="O1453" s="38" t="s">
        <v>1367</v>
      </c>
      <c r="P1453" s="47" t="s">
        <v>119</v>
      </c>
    </row>
    <row r="1454" spans="15:16" x14ac:dyDescent="0.2">
      <c r="O1454" s="37" t="s">
        <v>1368</v>
      </c>
      <c r="P1454" s="46" t="s">
        <v>119</v>
      </c>
    </row>
    <row r="1455" spans="15:16" x14ac:dyDescent="0.2">
      <c r="O1455" s="38" t="s">
        <v>429</v>
      </c>
      <c r="P1455" s="47" t="s">
        <v>119</v>
      </c>
    </row>
    <row r="1456" spans="15:16" x14ac:dyDescent="0.2">
      <c r="O1456" s="37" t="s">
        <v>431</v>
      </c>
      <c r="P1456" s="46" t="s">
        <v>119</v>
      </c>
    </row>
    <row r="1457" spans="15:16" x14ac:dyDescent="0.2">
      <c r="O1457" s="38" t="s">
        <v>1369</v>
      </c>
      <c r="P1457" s="47" t="s">
        <v>119</v>
      </c>
    </row>
    <row r="1458" spans="15:16" x14ac:dyDescent="0.2">
      <c r="O1458" s="37" t="s">
        <v>1370</v>
      </c>
      <c r="P1458" s="46" t="s">
        <v>119</v>
      </c>
    </row>
    <row r="1459" spans="15:16" x14ac:dyDescent="0.2">
      <c r="O1459" s="38" t="s">
        <v>789</v>
      </c>
      <c r="P1459" s="47" t="s">
        <v>119</v>
      </c>
    </row>
    <row r="1460" spans="15:16" x14ac:dyDescent="0.2">
      <c r="O1460" s="37" t="s">
        <v>1371</v>
      </c>
      <c r="P1460" s="46" t="s">
        <v>119</v>
      </c>
    </row>
    <row r="1461" spans="15:16" x14ac:dyDescent="0.2">
      <c r="O1461" s="38" t="s">
        <v>530</v>
      </c>
      <c r="P1461" s="47" t="s">
        <v>119</v>
      </c>
    </row>
    <row r="1462" spans="15:16" x14ac:dyDescent="0.2">
      <c r="O1462" s="37" t="s">
        <v>1372</v>
      </c>
      <c r="P1462" s="46" t="s">
        <v>119</v>
      </c>
    </row>
    <row r="1463" spans="15:16" x14ac:dyDescent="0.2">
      <c r="O1463" s="38" t="s">
        <v>1116</v>
      </c>
      <c r="P1463" s="47" t="s">
        <v>119</v>
      </c>
    </row>
    <row r="1464" spans="15:16" x14ac:dyDescent="0.2">
      <c r="O1464" s="37" t="s">
        <v>1054</v>
      </c>
      <c r="P1464" s="46" t="s">
        <v>119</v>
      </c>
    </row>
    <row r="1465" spans="15:16" x14ac:dyDescent="0.2">
      <c r="O1465" s="38" t="s">
        <v>535</v>
      </c>
      <c r="P1465" s="47" t="s">
        <v>119</v>
      </c>
    </row>
    <row r="1466" spans="15:16" x14ac:dyDescent="0.2">
      <c r="O1466" s="37" t="s">
        <v>1373</v>
      </c>
      <c r="P1466" s="46" t="s">
        <v>119</v>
      </c>
    </row>
    <row r="1467" spans="15:16" x14ac:dyDescent="0.2">
      <c r="O1467" s="38" t="s">
        <v>1374</v>
      </c>
      <c r="P1467" s="47" t="s">
        <v>119</v>
      </c>
    </row>
    <row r="1468" spans="15:16" x14ac:dyDescent="0.2">
      <c r="O1468" s="37" t="s">
        <v>1375</v>
      </c>
      <c r="P1468" s="46" t="s">
        <v>119</v>
      </c>
    </row>
    <row r="1469" spans="15:16" x14ac:dyDescent="0.2">
      <c r="O1469" s="38" t="s">
        <v>1376</v>
      </c>
      <c r="P1469" s="47" t="s">
        <v>119</v>
      </c>
    </row>
    <row r="1470" spans="15:16" x14ac:dyDescent="0.2">
      <c r="O1470" s="37" t="s">
        <v>1377</v>
      </c>
      <c r="P1470" s="46" t="s">
        <v>119</v>
      </c>
    </row>
    <row r="1471" spans="15:16" x14ac:dyDescent="0.2">
      <c r="O1471" s="38" t="s">
        <v>1378</v>
      </c>
      <c r="P1471" s="47" t="s">
        <v>119</v>
      </c>
    </row>
    <row r="1472" spans="15:16" x14ac:dyDescent="0.2">
      <c r="O1472" s="37" t="s">
        <v>536</v>
      </c>
      <c r="P1472" s="46" t="s">
        <v>119</v>
      </c>
    </row>
    <row r="1473" spans="15:16" x14ac:dyDescent="0.2">
      <c r="O1473" s="38" t="s">
        <v>1379</v>
      </c>
      <c r="P1473" s="47" t="s">
        <v>119</v>
      </c>
    </row>
    <row r="1474" spans="15:16" x14ac:dyDescent="0.2">
      <c r="O1474" s="37" t="s">
        <v>813</v>
      </c>
      <c r="P1474" s="46" t="s">
        <v>119</v>
      </c>
    </row>
    <row r="1475" spans="15:16" x14ac:dyDescent="0.2">
      <c r="O1475" s="38" t="s">
        <v>441</v>
      </c>
      <c r="P1475" s="47" t="s">
        <v>119</v>
      </c>
    </row>
    <row r="1476" spans="15:16" x14ac:dyDescent="0.2">
      <c r="O1476" s="37" t="s">
        <v>814</v>
      </c>
      <c r="P1476" s="46" t="s">
        <v>119</v>
      </c>
    </row>
    <row r="1477" spans="15:16" x14ac:dyDescent="0.2">
      <c r="O1477" s="38" t="s">
        <v>815</v>
      </c>
      <c r="P1477" s="47" t="s">
        <v>119</v>
      </c>
    </row>
    <row r="1478" spans="15:16" x14ac:dyDescent="0.2">
      <c r="O1478" s="37" t="s">
        <v>819</v>
      </c>
      <c r="P1478" s="46" t="s">
        <v>119</v>
      </c>
    </row>
    <row r="1479" spans="15:16" x14ac:dyDescent="0.2">
      <c r="O1479" s="38" t="s">
        <v>443</v>
      </c>
      <c r="P1479" s="47" t="s">
        <v>119</v>
      </c>
    </row>
    <row r="1480" spans="15:16" x14ac:dyDescent="0.2">
      <c r="O1480" s="37" t="s">
        <v>1380</v>
      </c>
      <c r="P1480" s="46" t="s">
        <v>119</v>
      </c>
    </row>
    <row r="1481" spans="15:16" x14ac:dyDescent="0.2">
      <c r="O1481" s="38" t="s">
        <v>1381</v>
      </c>
      <c r="P1481" s="47" t="s">
        <v>119</v>
      </c>
    </row>
    <row r="1482" spans="15:16" x14ac:dyDescent="0.2">
      <c r="O1482" s="37" t="s">
        <v>954</v>
      </c>
      <c r="P1482" s="46" t="s">
        <v>118</v>
      </c>
    </row>
    <row r="1483" spans="15:16" x14ac:dyDescent="0.2">
      <c r="O1483" s="38" t="s">
        <v>1382</v>
      </c>
      <c r="P1483" s="47" t="s">
        <v>118</v>
      </c>
    </row>
    <row r="1484" spans="15:16" x14ac:dyDescent="0.2">
      <c r="O1484" s="37" t="s">
        <v>1000</v>
      </c>
      <c r="P1484" s="46" t="s">
        <v>118</v>
      </c>
    </row>
    <row r="1485" spans="15:16" x14ac:dyDescent="0.2">
      <c r="O1485" s="38" t="s">
        <v>1383</v>
      </c>
      <c r="P1485" s="47" t="s">
        <v>118</v>
      </c>
    </row>
    <row r="1486" spans="15:16" x14ac:dyDescent="0.2">
      <c r="O1486" s="37" t="s">
        <v>1229</v>
      </c>
      <c r="P1486" s="46" t="s">
        <v>118</v>
      </c>
    </row>
    <row r="1487" spans="15:16" x14ac:dyDescent="0.2">
      <c r="O1487" s="38" t="s">
        <v>1002</v>
      </c>
      <c r="P1487" s="47" t="s">
        <v>118</v>
      </c>
    </row>
    <row r="1488" spans="15:16" x14ac:dyDescent="0.2">
      <c r="O1488" s="37" t="s">
        <v>1384</v>
      </c>
      <c r="P1488" s="46" t="s">
        <v>118</v>
      </c>
    </row>
    <row r="1489" spans="15:16" x14ac:dyDescent="0.2">
      <c r="O1489" s="38" t="s">
        <v>487</v>
      </c>
      <c r="P1489" s="47" t="s">
        <v>118</v>
      </c>
    </row>
    <row r="1490" spans="15:16" x14ac:dyDescent="0.2">
      <c r="O1490" s="37" t="s">
        <v>1385</v>
      </c>
      <c r="P1490" s="46" t="s">
        <v>118</v>
      </c>
    </row>
    <row r="1491" spans="15:16" x14ac:dyDescent="0.2">
      <c r="O1491" s="38" t="s">
        <v>488</v>
      </c>
      <c r="P1491" s="47" t="s">
        <v>118</v>
      </c>
    </row>
    <row r="1492" spans="15:16" x14ac:dyDescent="0.2">
      <c r="O1492" s="37" t="s">
        <v>960</v>
      </c>
      <c r="P1492" s="46" t="s">
        <v>118</v>
      </c>
    </row>
    <row r="1493" spans="15:16" x14ac:dyDescent="0.2">
      <c r="O1493" s="38" t="s">
        <v>383</v>
      </c>
      <c r="P1493" s="47" t="s">
        <v>118</v>
      </c>
    </row>
    <row r="1494" spans="15:16" x14ac:dyDescent="0.2">
      <c r="O1494" s="37" t="s">
        <v>1076</v>
      </c>
      <c r="P1494" s="46" t="s">
        <v>118</v>
      </c>
    </row>
    <row r="1495" spans="15:16" x14ac:dyDescent="0.2">
      <c r="O1495" s="38" t="s">
        <v>1386</v>
      </c>
      <c r="P1495" s="47" t="s">
        <v>118</v>
      </c>
    </row>
    <row r="1496" spans="15:16" x14ac:dyDescent="0.2">
      <c r="O1496" s="37" t="s">
        <v>728</v>
      </c>
      <c r="P1496" s="46" t="s">
        <v>118</v>
      </c>
    </row>
    <row r="1497" spans="15:16" x14ac:dyDescent="0.2">
      <c r="O1497" s="38" t="s">
        <v>1387</v>
      </c>
      <c r="P1497" s="47" t="s">
        <v>118</v>
      </c>
    </row>
    <row r="1498" spans="15:16" x14ac:dyDescent="0.2">
      <c r="O1498" s="37" t="s">
        <v>490</v>
      </c>
      <c r="P1498" s="46" t="s">
        <v>118</v>
      </c>
    </row>
    <row r="1499" spans="15:16" x14ac:dyDescent="0.2">
      <c r="O1499" s="38" t="s">
        <v>1080</v>
      </c>
      <c r="P1499" s="47" t="s">
        <v>118</v>
      </c>
    </row>
    <row r="1500" spans="15:16" x14ac:dyDescent="0.2">
      <c r="O1500" s="37" t="s">
        <v>863</v>
      </c>
      <c r="P1500" s="46" t="s">
        <v>118</v>
      </c>
    </row>
    <row r="1501" spans="15:16" x14ac:dyDescent="0.2">
      <c r="O1501" s="38" t="s">
        <v>962</v>
      </c>
      <c r="P1501" s="47" t="s">
        <v>118</v>
      </c>
    </row>
    <row r="1502" spans="15:16" x14ac:dyDescent="0.2">
      <c r="O1502" s="37" t="s">
        <v>1388</v>
      </c>
      <c r="P1502" s="46" t="s">
        <v>118</v>
      </c>
    </row>
    <row r="1503" spans="15:16" x14ac:dyDescent="0.2">
      <c r="O1503" s="38" t="s">
        <v>865</v>
      </c>
      <c r="P1503" s="47" t="s">
        <v>118</v>
      </c>
    </row>
    <row r="1504" spans="15:16" x14ac:dyDescent="0.2">
      <c r="O1504" s="37" t="s">
        <v>492</v>
      </c>
      <c r="P1504" s="46" t="s">
        <v>118</v>
      </c>
    </row>
    <row r="1505" spans="15:16" x14ac:dyDescent="0.2">
      <c r="O1505" s="38" t="s">
        <v>390</v>
      </c>
      <c r="P1505" s="47" t="s">
        <v>118</v>
      </c>
    </row>
    <row r="1506" spans="15:16" x14ac:dyDescent="0.2">
      <c r="O1506" s="37" t="s">
        <v>866</v>
      </c>
      <c r="P1506" s="46" t="s">
        <v>118</v>
      </c>
    </row>
    <row r="1507" spans="15:16" x14ac:dyDescent="0.2">
      <c r="O1507" s="38" t="s">
        <v>1389</v>
      </c>
      <c r="P1507" s="47" t="s">
        <v>118</v>
      </c>
    </row>
    <row r="1508" spans="15:16" x14ac:dyDescent="0.2">
      <c r="O1508" s="37" t="s">
        <v>1390</v>
      </c>
      <c r="P1508" s="46" t="s">
        <v>118</v>
      </c>
    </row>
    <row r="1509" spans="15:16" x14ac:dyDescent="0.2">
      <c r="O1509" s="38" t="s">
        <v>497</v>
      </c>
      <c r="P1509" s="47" t="s">
        <v>118</v>
      </c>
    </row>
    <row r="1510" spans="15:16" x14ac:dyDescent="0.2">
      <c r="O1510" s="37" t="s">
        <v>673</v>
      </c>
      <c r="P1510" s="46" t="s">
        <v>118</v>
      </c>
    </row>
    <row r="1511" spans="15:16" x14ac:dyDescent="0.2">
      <c r="O1511" s="38" t="s">
        <v>400</v>
      </c>
      <c r="P1511" s="47" t="s">
        <v>118</v>
      </c>
    </row>
    <row r="1512" spans="15:16" x14ac:dyDescent="0.2">
      <c r="O1512" s="37" t="s">
        <v>916</v>
      </c>
      <c r="P1512" s="46" t="s">
        <v>118</v>
      </c>
    </row>
    <row r="1513" spans="15:16" x14ac:dyDescent="0.2">
      <c r="O1513" s="38" t="s">
        <v>401</v>
      </c>
      <c r="P1513" s="47" t="s">
        <v>118</v>
      </c>
    </row>
    <row r="1514" spans="15:16" x14ac:dyDescent="0.2">
      <c r="O1514" s="37" t="s">
        <v>1391</v>
      </c>
      <c r="P1514" s="46" t="s">
        <v>118</v>
      </c>
    </row>
    <row r="1515" spans="15:16" x14ac:dyDescent="0.2">
      <c r="O1515" s="38" t="s">
        <v>614</v>
      </c>
      <c r="P1515" s="47" t="s">
        <v>118</v>
      </c>
    </row>
    <row r="1516" spans="15:16" x14ac:dyDescent="0.2">
      <c r="O1516" s="37" t="s">
        <v>1392</v>
      </c>
      <c r="P1516" s="46" t="s">
        <v>118</v>
      </c>
    </row>
    <row r="1517" spans="15:16" x14ac:dyDescent="0.2">
      <c r="O1517" s="38" t="s">
        <v>406</v>
      </c>
      <c r="P1517" s="47" t="s">
        <v>118</v>
      </c>
    </row>
    <row r="1518" spans="15:16" x14ac:dyDescent="0.2">
      <c r="O1518" s="37" t="s">
        <v>1393</v>
      </c>
      <c r="P1518" s="46" t="s">
        <v>118</v>
      </c>
    </row>
    <row r="1519" spans="15:16" x14ac:dyDescent="0.2">
      <c r="O1519" s="38" t="s">
        <v>1394</v>
      </c>
      <c r="P1519" s="47" t="s">
        <v>118</v>
      </c>
    </row>
    <row r="1520" spans="15:16" x14ac:dyDescent="0.2">
      <c r="O1520" s="37" t="s">
        <v>408</v>
      </c>
      <c r="P1520" s="46" t="s">
        <v>118</v>
      </c>
    </row>
    <row r="1521" spans="15:16" x14ac:dyDescent="0.2">
      <c r="O1521" s="38" t="s">
        <v>875</v>
      </c>
      <c r="P1521" s="47" t="s">
        <v>118</v>
      </c>
    </row>
    <row r="1522" spans="15:16" x14ac:dyDescent="0.2">
      <c r="O1522" s="37" t="s">
        <v>923</v>
      </c>
      <c r="P1522" s="46" t="s">
        <v>118</v>
      </c>
    </row>
    <row r="1523" spans="15:16" x14ac:dyDescent="0.2">
      <c r="O1523" s="38" t="s">
        <v>410</v>
      </c>
      <c r="P1523" s="47" t="s">
        <v>118</v>
      </c>
    </row>
    <row r="1524" spans="15:16" x14ac:dyDescent="0.2">
      <c r="O1524" s="37" t="s">
        <v>1395</v>
      </c>
      <c r="P1524" s="46" t="s">
        <v>118</v>
      </c>
    </row>
    <row r="1525" spans="15:16" x14ac:dyDescent="0.2">
      <c r="O1525" s="38" t="s">
        <v>1396</v>
      </c>
      <c r="P1525" s="47" t="s">
        <v>118</v>
      </c>
    </row>
    <row r="1526" spans="15:16" x14ac:dyDescent="0.2">
      <c r="O1526" s="37" t="s">
        <v>508</v>
      </c>
      <c r="P1526" s="46" t="s">
        <v>118</v>
      </c>
    </row>
    <row r="1527" spans="15:16" x14ac:dyDescent="0.2">
      <c r="O1527" s="38" t="s">
        <v>1397</v>
      </c>
      <c r="P1527" s="47" t="s">
        <v>118</v>
      </c>
    </row>
    <row r="1528" spans="15:16" x14ac:dyDescent="0.2">
      <c r="O1528" s="37" t="s">
        <v>1248</v>
      </c>
      <c r="P1528" s="46" t="s">
        <v>118</v>
      </c>
    </row>
    <row r="1529" spans="15:16" x14ac:dyDescent="0.2">
      <c r="O1529" s="38" t="s">
        <v>412</v>
      </c>
      <c r="P1529" s="47" t="s">
        <v>118</v>
      </c>
    </row>
    <row r="1530" spans="15:16" x14ac:dyDescent="0.2">
      <c r="O1530" s="37" t="s">
        <v>770</v>
      </c>
      <c r="P1530" s="46" t="s">
        <v>118</v>
      </c>
    </row>
    <row r="1531" spans="15:16" x14ac:dyDescent="0.2">
      <c r="O1531" s="38" t="s">
        <v>413</v>
      </c>
      <c r="P1531" s="47" t="s">
        <v>118</v>
      </c>
    </row>
    <row r="1532" spans="15:16" x14ac:dyDescent="0.2">
      <c r="O1532" s="37" t="s">
        <v>511</v>
      </c>
      <c r="P1532" s="46" t="s">
        <v>118</v>
      </c>
    </row>
    <row r="1533" spans="15:16" x14ac:dyDescent="0.2">
      <c r="O1533" s="38" t="s">
        <v>884</v>
      </c>
      <c r="P1533" s="47" t="s">
        <v>118</v>
      </c>
    </row>
    <row r="1534" spans="15:16" x14ac:dyDescent="0.2">
      <c r="O1534" s="37" t="s">
        <v>1398</v>
      </c>
      <c r="P1534" s="46" t="s">
        <v>118</v>
      </c>
    </row>
    <row r="1535" spans="15:16" x14ac:dyDescent="0.2">
      <c r="O1535" s="38" t="s">
        <v>512</v>
      </c>
      <c r="P1535" s="47" t="s">
        <v>118</v>
      </c>
    </row>
    <row r="1536" spans="15:16" x14ac:dyDescent="0.2">
      <c r="O1536" s="37" t="s">
        <v>416</v>
      </c>
      <c r="P1536" s="46" t="s">
        <v>118</v>
      </c>
    </row>
    <row r="1537" spans="15:16" x14ac:dyDescent="0.2">
      <c r="O1537" s="38" t="s">
        <v>848</v>
      </c>
      <c r="P1537" s="47" t="s">
        <v>118</v>
      </c>
    </row>
    <row r="1538" spans="15:16" x14ac:dyDescent="0.2">
      <c r="O1538" s="37" t="s">
        <v>513</v>
      </c>
      <c r="P1538" s="46" t="s">
        <v>118</v>
      </c>
    </row>
    <row r="1539" spans="15:16" x14ac:dyDescent="0.2">
      <c r="O1539" s="38" t="s">
        <v>975</v>
      </c>
      <c r="P1539" s="47" t="s">
        <v>118</v>
      </c>
    </row>
    <row r="1540" spans="15:16" x14ac:dyDescent="0.2">
      <c r="O1540" s="37" t="s">
        <v>886</v>
      </c>
      <c r="P1540" s="46" t="s">
        <v>118</v>
      </c>
    </row>
    <row r="1541" spans="15:16" x14ac:dyDescent="0.2">
      <c r="O1541" s="38" t="s">
        <v>1399</v>
      </c>
      <c r="P1541" s="47" t="s">
        <v>118</v>
      </c>
    </row>
    <row r="1542" spans="15:16" x14ac:dyDescent="0.2">
      <c r="O1542" s="37" t="s">
        <v>420</v>
      </c>
      <c r="P1542" s="46" t="s">
        <v>118</v>
      </c>
    </row>
    <row r="1543" spans="15:16" x14ac:dyDescent="0.2">
      <c r="O1543" s="38" t="s">
        <v>421</v>
      </c>
      <c r="P1543" s="47" t="s">
        <v>118</v>
      </c>
    </row>
    <row r="1544" spans="15:16" x14ac:dyDescent="0.2">
      <c r="O1544" s="37" t="s">
        <v>1400</v>
      </c>
      <c r="P1544" s="46" t="s">
        <v>118</v>
      </c>
    </row>
    <row r="1545" spans="15:16" x14ac:dyDescent="0.2">
      <c r="O1545" s="38" t="s">
        <v>423</v>
      </c>
      <c r="P1545" s="47" t="s">
        <v>118</v>
      </c>
    </row>
    <row r="1546" spans="15:16" x14ac:dyDescent="0.2">
      <c r="O1546" s="37" t="s">
        <v>894</v>
      </c>
      <c r="P1546" s="46" t="s">
        <v>118</v>
      </c>
    </row>
    <row r="1547" spans="15:16" x14ac:dyDescent="0.2">
      <c r="O1547" s="38" t="s">
        <v>517</v>
      </c>
      <c r="P1547" s="47" t="s">
        <v>118</v>
      </c>
    </row>
    <row r="1548" spans="15:16" x14ac:dyDescent="0.2">
      <c r="O1548" s="37" t="s">
        <v>518</v>
      </c>
      <c r="P1548" s="46" t="s">
        <v>118</v>
      </c>
    </row>
    <row r="1549" spans="15:16" x14ac:dyDescent="0.2">
      <c r="O1549" s="38" t="s">
        <v>1401</v>
      </c>
      <c r="P1549" s="47" t="s">
        <v>118</v>
      </c>
    </row>
    <row r="1550" spans="15:16" x14ac:dyDescent="0.2">
      <c r="O1550" s="37" t="s">
        <v>426</v>
      </c>
      <c r="P1550" s="46" t="s">
        <v>118</v>
      </c>
    </row>
    <row r="1551" spans="15:16" x14ac:dyDescent="0.2">
      <c r="O1551" s="38" t="s">
        <v>427</v>
      </c>
      <c r="P1551" s="47" t="s">
        <v>118</v>
      </c>
    </row>
    <row r="1552" spans="15:16" x14ac:dyDescent="0.2">
      <c r="O1552" s="37" t="s">
        <v>428</v>
      </c>
      <c r="P1552" s="46" t="s">
        <v>118</v>
      </c>
    </row>
    <row r="1553" spans="15:16" x14ac:dyDescent="0.2">
      <c r="O1553" s="38" t="s">
        <v>1402</v>
      </c>
      <c r="P1553" s="47" t="s">
        <v>118</v>
      </c>
    </row>
    <row r="1554" spans="15:16" x14ac:dyDescent="0.2">
      <c r="O1554" s="37" t="s">
        <v>520</v>
      </c>
      <c r="P1554" s="46" t="s">
        <v>118</v>
      </c>
    </row>
    <row r="1555" spans="15:16" x14ac:dyDescent="0.2">
      <c r="O1555" s="38" t="s">
        <v>1403</v>
      </c>
      <c r="P1555" s="47" t="s">
        <v>118</v>
      </c>
    </row>
    <row r="1556" spans="15:16" x14ac:dyDescent="0.2">
      <c r="O1556" s="37" t="s">
        <v>1404</v>
      </c>
      <c r="P1556" s="46" t="s">
        <v>118</v>
      </c>
    </row>
    <row r="1557" spans="15:16" x14ac:dyDescent="0.2">
      <c r="O1557" s="38" t="s">
        <v>1038</v>
      </c>
      <c r="P1557" s="47" t="s">
        <v>118</v>
      </c>
    </row>
    <row r="1558" spans="15:16" x14ac:dyDescent="0.2">
      <c r="O1558" s="37" t="s">
        <v>1405</v>
      </c>
      <c r="P1558" s="46" t="s">
        <v>118</v>
      </c>
    </row>
    <row r="1559" spans="15:16" x14ac:dyDescent="0.2">
      <c r="O1559" s="38" t="s">
        <v>1406</v>
      </c>
      <c r="P1559" s="47" t="s">
        <v>118</v>
      </c>
    </row>
    <row r="1560" spans="15:16" x14ac:dyDescent="0.2">
      <c r="O1560" s="37" t="s">
        <v>429</v>
      </c>
      <c r="P1560" s="46" t="s">
        <v>118</v>
      </c>
    </row>
    <row r="1561" spans="15:16" x14ac:dyDescent="0.2">
      <c r="O1561" s="38" t="s">
        <v>1407</v>
      </c>
      <c r="P1561" s="47" t="s">
        <v>118</v>
      </c>
    </row>
    <row r="1562" spans="15:16" x14ac:dyDescent="0.2">
      <c r="O1562" s="37" t="s">
        <v>1408</v>
      </c>
      <c r="P1562" s="46" t="s">
        <v>118</v>
      </c>
    </row>
    <row r="1563" spans="15:16" x14ac:dyDescent="0.2">
      <c r="O1563" s="38" t="s">
        <v>431</v>
      </c>
      <c r="P1563" s="47" t="s">
        <v>118</v>
      </c>
    </row>
    <row r="1564" spans="15:16" x14ac:dyDescent="0.2">
      <c r="O1564" s="37" t="s">
        <v>1409</v>
      </c>
      <c r="P1564" s="46" t="s">
        <v>118</v>
      </c>
    </row>
    <row r="1565" spans="15:16" x14ac:dyDescent="0.2">
      <c r="O1565" s="38" t="s">
        <v>524</v>
      </c>
      <c r="P1565" s="47" t="s">
        <v>118</v>
      </c>
    </row>
    <row r="1566" spans="15:16" x14ac:dyDescent="0.2">
      <c r="O1566" s="37" t="s">
        <v>527</v>
      </c>
      <c r="P1566" s="46" t="s">
        <v>118</v>
      </c>
    </row>
    <row r="1567" spans="15:16" x14ac:dyDescent="0.2">
      <c r="O1567" s="38" t="s">
        <v>702</v>
      </c>
      <c r="P1567" s="47" t="s">
        <v>118</v>
      </c>
    </row>
    <row r="1568" spans="15:16" x14ac:dyDescent="0.2">
      <c r="O1568" s="37" t="s">
        <v>1410</v>
      </c>
      <c r="P1568" s="46" t="s">
        <v>118</v>
      </c>
    </row>
    <row r="1569" spans="15:16" x14ac:dyDescent="0.2">
      <c r="O1569" s="38" t="s">
        <v>432</v>
      </c>
      <c r="P1569" s="47" t="s">
        <v>118</v>
      </c>
    </row>
    <row r="1570" spans="15:16" x14ac:dyDescent="0.2">
      <c r="O1570" s="37" t="s">
        <v>1411</v>
      </c>
      <c r="P1570" s="46" t="s">
        <v>118</v>
      </c>
    </row>
    <row r="1571" spans="15:16" x14ac:dyDescent="0.2">
      <c r="O1571" s="38" t="s">
        <v>1412</v>
      </c>
      <c r="P1571" s="47" t="s">
        <v>118</v>
      </c>
    </row>
    <row r="1572" spans="15:16" x14ac:dyDescent="0.2">
      <c r="O1572" s="37" t="s">
        <v>938</v>
      </c>
      <c r="P1572" s="46" t="s">
        <v>118</v>
      </c>
    </row>
    <row r="1573" spans="15:16" x14ac:dyDescent="0.2">
      <c r="O1573" s="38" t="s">
        <v>1413</v>
      </c>
      <c r="P1573" s="47" t="s">
        <v>118</v>
      </c>
    </row>
    <row r="1574" spans="15:16" x14ac:dyDescent="0.2">
      <c r="O1574" s="37" t="s">
        <v>434</v>
      </c>
      <c r="P1574" s="46" t="s">
        <v>118</v>
      </c>
    </row>
    <row r="1575" spans="15:16" x14ac:dyDescent="0.2">
      <c r="O1575" s="38" t="s">
        <v>1414</v>
      </c>
      <c r="P1575" s="47" t="s">
        <v>118</v>
      </c>
    </row>
    <row r="1576" spans="15:16" x14ac:dyDescent="0.2">
      <c r="O1576" s="37" t="s">
        <v>1415</v>
      </c>
      <c r="P1576" s="46" t="s">
        <v>118</v>
      </c>
    </row>
    <row r="1577" spans="15:16" x14ac:dyDescent="0.2">
      <c r="O1577" s="38" t="s">
        <v>1331</v>
      </c>
      <c r="P1577" s="47" t="s">
        <v>118</v>
      </c>
    </row>
    <row r="1578" spans="15:16" x14ac:dyDescent="0.2">
      <c r="O1578" s="37" t="s">
        <v>529</v>
      </c>
      <c r="P1578" s="46" t="s">
        <v>118</v>
      </c>
    </row>
    <row r="1579" spans="15:16" x14ac:dyDescent="0.2">
      <c r="O1579" s="38" t="s">
        <v>902</v>
      </c>
      <c r="P1579" s="47" t="s">
        <v>118</v>
      </c>
    </row>
    <row r="1580" spans="15:16" x14ac:dyDescent="0.2">
      <c r="O1580" s="37" t="s">
        <v>1416</v>
      </c>
      <c r="P1580" s="46" t="s">
        <v>118</v>
      </c>
    </row>
    <row r="1581" spans="15:16" x14ac:dyDescent="0.2">
      <c r="O1581" s="38" t="s">
        <v>530</v>
      </c>
      <c r="P1581" s="47" t="s">
        <v>118</v>
      </c>
    </row>
    <row r="1582" spans="15:16" x14ac:dyDescent="0.2">
      <c r="O1582" s="37" t="s">
        <v>1417</v>
      </c>
      <c r="P1582" s="46" t="s">
        <v>118</v>
      </c>
    </row>
    <row r="1583" spans="15:16" x14ac:dyDescent="0.2">
      <c r="O1583" s="38" t="s">
        <v>435</v>
      </c>
      <c r="P1583" s="47" t="s">
        <v>118</v>
      </c>
    </row>
    <row r="1584" spans="15:16" x14ac:dyDescent="0.2">
      <c r="O1584" s="37" t="s">
        <v>1418</v>
      </c>
      <c r="P1584" s="46" t="s">
        <v>118</v>
      </c>
    </row>
    <row r="1585" spans="15:16" x14ac:dyDescent="0.2">
      <c r="O1585" s="38" t="s">
        <v>535</v>
      </c>
      <c r="P1585" s="47" t="s">
        <v>118</v>
      </c>
    </row>
    <row r="1586" spans="15:16" x14ac:dyDescent="0.2">
      <c r="O1586" s="37" t="s">
        <v>944</v>
      </c>
      <c r="P1586" s="46" t="s">
        <v>118</v>
      </c>
    </row>
    <row r="1587" spans="15:16" x14ac:dyDescent="0.2">
      <c r="O1587" s="38" t="s">
        <v>1419</v>
      </c>
      <c r="P1587" s="47" t="s">
        <v>118</v>
      </c>
    </row>
    <row r="1588" spans="15:16" x14ac:dyDescent="0.2">
      <c r="O1588" s="37" t="s">
        <v>1420</v>
      </c>
      <c r="P1588" s="46" t="s">
        <v>118</v>
      </c>
    </row>
    <row r="1589" spans="15:16" x14ac:dyDescent="0.2">
      <c r="O1589" s="38" t="s">
        <v>1421</v>
      </c>
      <c r="P1589" s="47" t="s">
        <v>118</v>
      </c>
    </row>
    <row r="1590" spans="15:16" x14ac:dyDescent="0.2">
      <c r="O1590" s="37" t="s">
        <v>813</v>
      </c>
      <c r="P1590" s="46" t="s">
        <v>118</v>
      </c>
    </row>
    <row r="1591" spans="15:16" x14ac:dyDescent="0.2">
      <c r="O1591" s="38" t="s">
        <v>441</v>
      </c>
      <c r="P1591" s="47" t="s">
        <v>118</v>
      </c>
    </row>
    <row r="1592" spans="15:16" x14ac:dyDescent="0.2">
      <c r="O1592" s="37" t="s">
        <v>814</v>
      </c>
      <c r="P1592" s="46" t="s">
        <v>118</v>
      </c>
    </row>
    <row r="1593" spans="15:16" x14ac:dyDescent="0.2">
      <c r="O1593" s="38" t="s">
        <v>815</v>
      </c>
      <c r="P1593" s="47" t="s">
        <v>118</v>
      </c>
    </row>
    <row r="1594" spans="15:16" x14ac:dyDescent="0.2">
      <c r="O1594" s="37" t="s">
        <v>820</v>
      </c>
      <c r="P1594" s="46" t="s">
        <v>118</v>
      </c>
    </row>
    <row r="1595" spans="15:16" x14ac:dyDescent="0.2">
      <c r="O1595" s="38" t="s">
        <v>998</v>
      </c>
      <c r="P1595" s="47" t="s">
        <v>118</v>
      </c>
    </row>
    <row r="1596" spans="15:16" x14ac:dyDescent="0.2">
      <c r="O1596" s="37" t="s">
        <v>1422</v>
      </c>
      <c r="P1596" s="46" t="s">
        <v>118</v>
      </c>
    </row>
    <row r="1597" spans="15:16" x14ac:dyDescent="0.2">
      <c r="O1597" s="38" t="s">
        <v>1423</v>
      </c>
      <c r="P1597" s="47" t="s">
        <v>117</v>
      </c>
    </row>
    <row r="1598" spans="15:16" x14ac:dyDescent="0.2">
      <c r="O1598" s="37" t="s">
        <v>1424</v>
      </c>
      <c r="P1598" s="46" t="s">
        <v>117</v>
      </c>
    </row>
    <row r="1599" spans="15:16" x14ac:dyDescent="0.2">
      <c r="O1599" s="38" t="s">
        <v>831</v>
      </c>
      <c r="P1599" s="47" t="s">
        <v>117</v>
      </c>
    </row>
    <row r="1600" spans="15:16" x14ac:dyDescent="0.2">
      <c r="O1600" s="37" t="s">
        <v>1425</v>
      </c>
      <c r="P1600" s="46" t="s">
        <v>117</v>
      </c>
    </row>
    <row r="1601" spans="15:16" x14ac:dyDescent="0.2">
      <c r="O1601" s="38" t="s">
        <v>1426</v>
      </c>
      <c r="P1601" s="47" t="s">
        <v>117</v>
      </c>
    </row>
    <row r="1602" spans="15:16" x14ac:dyDescent="0.2">
      <c r="O1602" s="37" t="s">
        <v>1080</v>
      </c>
      <c r="P1602" s="46" t="s">
        <v>117</v>
      </c>
    </row>
    <row r="1603" spans="15:16" x14ac:dyDescent="0.2">
      <c r="O1603" s="38" t="s">
        <v>1427</v>
      </c>
      <c r="P1603" s="47" t="s">
        <v>117</v>
      </c>
    </row>
    <row r="1604" spans="15:16" x14ac:dyDescent="0.2">
      <c r="O1604" s="37" t="s">
        <v>1428</v>
      </c>
      <c r="P1604" s="46" t="s">
        <v>117</v>
      </c>
    </row>
    <row r="1605" spans="15:16" x14ac:dyDescent="0.2">
      <c r="O1605" s="38" t="s">
        <v>610</v>
      </c>
      <c r="P1605" s="47" t="s">
        <v>117</v>
      </c>
    </row>
    <row r="1606" spans="15:16" x14ac:dyDescent="0.2">
      <c r="O1606" s="37" t="s">
        <v>1429</v>
      </c>
      <c r="P1606" s="46" t="s">
        <v>117</v>
      </c>
    </row>
    <row r="1607" spans="15:16" x14ac:dyDescent="0.2">
      <c r="O1607" s="38" t="s">
        <v>742</v>
      </c>
      <c r="P1607" s="47" t="s">
        <v>117</v>
      </c>
    </row>
    <row r="1608" spans="15:16" x14ac:dyDescent="0.2">
      <c r="O1608" s="37" t="s">
        <v>1430</v>
      </c>
      <c r="P1608" s="46" t="s">
        <v>117</v>
      </c>
    </row>
    <row r="1609" spans="15:16" x14ac:dyDescent="0.2">
      <c r="O1609" s="38" t="s">
        <v>1431</v>
      </c>
      <c r="P1609" s="47" t="s">
        <v>117</v>
      </c>
    </row>
    <row r="1610" spans="15:16" x14ac:dyDescent="0.2">
      <c r="O1610" s="37" t="s">
        <v>1432</v>
      </c>
      <c r="P1610" s="46" t="s">
        <v>117</v>
      </c>
    </row>
    <row r="1611" spans="15:16" x14ac:dyDescent="0.2">
      <c r="O1611" s="38" t="s">
        <v>1433</v>
      </c>
      <c r="P1611" s="47" t="s">
        <v>117</v>
      </c>
    </row>
    <row r="1612" spans="15:16" x14ac:dyDescent="0.2">
      <c r="O1612" s="37" t="s">
        <v>874</v>
      </c>
      <c r="P1612" s="46" t="s">
        <v>117</v>
      </c>
    </row>
    <row r="1613" spans="15:16" x14ac:dyDescent="0.2">
      <c r="O1613" s="38" t="s">
        <v>619</v>
      </c>
      <c r="P1613" s="47" t="s">
        <v>117</v>
      </c>
    </row>
    <row r="1614" spans="15:16" x14ac:dyDescent="0.2">
      <c r="O1614" s="37" t="s">
        <v>1434</v>
      </c>
      <c r="P1614" s="46" t="s">
        <v>117</v>
      </c>
    </row>
    <row r="1615" spans="15:16" x14ac:dyDescent="0.2">
      <c r="O1615" s="38" t="s">
        <v>1435</v>
      </c>
      <c r="P1615" s="47" t="s">
        <v>117</v>
      </c>
    </row>
    <row r="1616" spans="15:16" x14ac:dyDescent="0.2">
      <c r="O1616" s="37" t="s">
        <v>1436</v>
      </c>
      <c r="P1616" s="46" t="s">
        <v>117</v>
      </c>
    </row>
    <row r="1617" spans="15:16" x14ac:dyDescent="0.2">
      <c r="O1617" s="38" t="s">
        <v>1437</v>
      </c>
      <c r="P1617" s="47" t="s">
        <v>117</v>
      </c>
    </row>
    <row r="1618" spans="15:16" x14ac:dyDescent="0.2">
      <c r="O1618" s="37" t="s">
        <v>413</v>
      </c>
      <c r="P1618" s="46" t="s">
        <v>117</v>
      </c>
    </row>
    <row r="1619" spans="15:16" x14ac:dyDescent="0.2">
      <c r="O1619" s="38" t="s">
        <v>1438</v>
      </c>
      <c r="P1619" s="47" t="s">
        <v>117</v>
      </c>
    </row>
    <row r="1620" spans="15:16" x14ac:dyDescent="0.2">
      <c r="O1620" s="37" t="s">
        <v>557</v>
      </c>
      <c r="P1620" s="46" t="s">
        <v>117</v>
      </c>
    </row>
    <row r="1621" spans="15:16" x14ac:dyDescent="0.2">
      <c r="O1621" s="38" t="s">
        <v>1439</v>
      </c>
      <c r="P1621" s="47" t="s">
        <v>117</v>
      </c>
    </row>
    <row r="1622" spans="15:16" x14ac:dyDescent="0.2">
      <c r="O1622" s="37" t="s">
        <v>692</v>
      </c>
      <c r="P1622" s="46" t="s">
        <v>117</v>
      </c>
    </row>
    <row r="1623" spans="15:16" x14ac:dyDescent="0.2">
      <c r="O1623" s="38" t="s">
        <v>513</v>
      </c>
      <c r="P1623" s="47" t="s">
        <v>117</v>
      </c>
    </row>
    <row r="1624" spans="15:16" x14ac:dyDescent="0.2">
      <c r="O1624" s="37" t="s">
        <v>1440</v>
      </c>
      <c r="P1624" s="46" t="s">
        <v>117</v>
      </c>
    </row>
    <row r="1625" spans="15:16" x14ac:dyDescent="0.2">
      <c r="O1625" s="38" t="s">
        <v>421</v>
      </c>
      <c r="P1625" s="47" t="s">
        <v>117</v>
      </c>
    </row>
    <row r="1626" spans="15:16" x14ac:dyDescent="0.2">
      <c r="O1626" s="37" t="s">
        <v>1441</v>
      </c>
      <c r="P1626" s="46" t="s">
        <v>117</v>
      </c>
    </row>
    <row r="1627" spans="15:16" x14ac:dyDescent="0.2">
      <c r="O1627" s="38" t="s">
        <v>631</v>
      </c>
      <c r="P1627" s="47" t="s">
        <v>117</v>
      </c>
    </row>
    <row r="1628" spans="15:16" x14ac:dyDescent="0.2">
      <c r="O1628" s="37" t="s">
        <v>1442</v>
      </c>
      <c r="P1628" s="46" t="s">
        <v>117</v>
      </c>
    </row>
    <row r="1629" spans="15:16" x14ac:dyDescent="0.2">
      <c r="O1629" s="38" t="s">
        <v>1443</v>
      </c>
      <c r="P1629" s="47" t="s">
        <v>117</v>
      </c>
    </row>
    <row r="1630" spans="15:16" x14ac:dyDescent="0.2">
      <c r="O1630" s="37" t="s">
        <v>637</v>
      </c>
      <c r="P1630" s="46" t="s">
        <v>117</v>
      </c>
    </row>
    <row r="1631" spans="15:16" x14ac:dyDescent="0.2">
      <c r="O1631" s="38" t="s">
        <v>1444</v>
      </c>
      <c r="P1631" s="47" t="s">
        <v>117</v>
      </c>
    </row>
    <row r="1632" spans="15:16" x14ac:dyDescent="0.2">
      <c r="O1632" s="37" t="s">
        <v>522</v>
      </c>
      <c r="P1632" s="46" t="s">
        <v>117</v>
      </c>
    </row>
    <row r="1633" spans="15:16" x14ac:dyDescent="0.2">
      <c r="O1633" s="38" t="s">
        <v>1445</v>
      </c>
      <c r="P1633" s="47" t="s">
        <v>117</v>
      </c>
    </row>
    <row r="1634" spans="15:16" x14ac:dyDescent="0.2">
      <c r="O1634" s="37" t="s">
        <v>1446</v>
      </c>
      <c r="P1634" s="46" t="s">
        <v>117</v>
      </c>
    </row>
    <row r="1635" spans="15:16" x14ac:dyDescent="0.2">
      <c r="O1635" s="38" t="s">
        <v>1112</v>
      </c>
      <c r="P1635" s="47" t="s">
        <v>117</v>
      </c>
    </row>
    <row r="1636" spans="15:16" x14ac:dyDescent="0.2">
      <c r="O1636" s="37" t="s">
        <v>526</v>
      </c>
      <c r="P1636" s="46" t="s">
        <v>117</v>
      </c>
    </row>
    <row r="1637" spans="15:16" x14ac:dyDescent="0.2">
      <c r="O1637" s="38" t="s">
        <v>1447</v>
      </c>
      <c r="P1637" s="47" t="s">
        <v>117</v>
      </c>
    </row>
    <row r="1638" spans="15:16" x14ac:dyDescent="0.2">
      <c r="O1638" s="37" t="s">
        <v>899</v>
      </c>
      <c r="P1638" s="46" t="s">
        <v>117</v>
      </c>
    </row>
    <row r="1639" spans="15:16" x14ac:dyDescent="0.2">
      <c r="O1639" s="38" t="s">
        <v>1448</v>
      </c>
      <c r="P1639" s="47" t="s">
        <v>117</v>
      </c>
    </row>
    <row r="1640" spans="15:16" x14ac:dyDescent="0.2">
      <c r="O1640" s="37" t="s">
        <v>1449</v>
      </c>
      <c r="P1640" s="46" t="s">
        <v>117</v>
      </c>
    </row>
    <row r="1641" spans="15:16" x14ac:dyDescent="0.2">
      <c r="O1641" s="38" t="s">
        <v>1450</v>
      </c>
      <c r="P1641" s="47" t="s">
        <v>117</v>
      </c>
    </row>
    <row r="1642" spans="15:16" x14ac:dyDescent="0.2">
      <c r="O1642" s="37" t="s">
        <v>1052</v>
      </c>
      <c r="P1642" s="46" t="s">
        <v>117</v>
      </c>
    </row>
    <row r="1643" spans="15:16" x14ac:dyDescent="0.2">
      <c r="O1643" s="38" t="s">
        <v>1451</v>
      </c>
      <c r="P1643" s="47" t="s">
        <v>117</v>
      </c>
    </row>
    <row r="1644" spans="15:16" x14ac:dyDescent="0.2">
      <c r="O1644" s="37" t="s">
        <v>1452</v>
      </c>
      <c r="P1644" s="46" t="s">
        <v>117</v>
      </c>
    </row>
    <row r="1645" spans="15:16" x14ac:dyDescent="0.2">
      <c r="O1645" s="38" t="s">
        <v>1453</v>
      </c>
      <c r="P1645" s="47" t="s">
        <v>117</v>
      </c>
    </row>
    <row r="1646" spans="15:16" x14ac:dyDescent="0.2">
      <c r="O1646" s="37" t="s">
        <v>856</v>
      </c>
      <c r="P1646" s="46" t="s">
        <v>117</v>
      </c>
    </row>
    <row r="1647" spans="15:16" x14ac:dyDescent="0.2">
      <c r="O1647" s="38" t="s">
        <v>1454</v>
      </c>
      <c r="P1647" s="47" t="s">
        <v>117</v>
      </c>
    </row>
    <row r="1648" spans="15:16" x14ac:dyDescent="0.2">
      <c r="O1648" s="37" t="s">
        <v>1455</v>
      </c>
      <c r="P1648" s="46" t="s">
        <v>117</v>
      </c>
    </row>
    <row r="1649" spans="15:16" x14ac:dyDescent="0.2">
      <c r="O1649" s="38" t="s">
        <v>858</v>
      </c>
      <c r="P1649" s="47" t="s">
        <v>117</v>
      </c>
    </row>
    <row r="1650" spans="15:16" x14ac:dyDescent="0.2">
      <c r="O1650" s="37" t="s">
        <v>1456</v>
      </c>
      <c r="P1650" s="46" t="s">
        <v>117</v>
      </c>
    </row>
    <row r="1651" spans="15:16" x14ac:dyDescent="0.2">
      <c r="O1651" s="38" t="s">
        <v>1457</v>
      </c>
      <c r="P1651" s="47" t="s">
        <v>117</v>
      </c>
    </row>
    <row r="1652" spans="15:16" x14ac:dyDescent="0.2">
      <c r="O1652" s="37" t="s">
        <v>1458</v>
      </c>
      <c r="P1652" s="46" t="s">
        <v>117</v>
      </c>
    </row>
    <row r="1653" spans="15:16" x14ac:dyDescent="0.2">
      <c r="O1653" s="38" t="s">
        <v>1459</v>
      </c>
      <c r="P1653" s="47" t="s">
        <v>117</v>
      </c>
    </row>
    <row r="1654" spans="15:16" x14ac:dyDescent="0.2">
      <c r="O1654" s="37" t="s">
        <v>597</v>
      </c>
      <c r="P1654" s="46" t="s">
        <v>116</v>
      </c>
    </row>
    <row r="1655" spans="15:16" x14ac:dyDescent="0.2">
      <c r="O1655" s="38" t="s">
        <v>1460</v>
      </c>
      <c r="P1655" s="47" t="s">
        <v>116</v>
      </c>
    </row>
    <row r="1656" spans="15:16" x14ac:dyDescent="0.2">
      <c r="O1656" s="37" t="s">
        <v>1461</v>
      </c>
      <c r="P1656" s="46" t="s">
        <v>116</v>
      </c>
    </row>
    <row r="1657" spans="15:16" x14ac:dyDescent="0.2">
      <c r="O1657" s="38" t="s">
        <v>1462</v>
      </c>
      <c r="P1657" s="47" t="s">
        <v>116</v>
      </c>
    </row>
    <row r="1658" spans="15:16" x14ac:dyDescent="0.2">
      <c r="O1658" s="37" t="s">
        <v>831</v>
      </c>
      <c r="P1658" s="46" t="s">
        <v>116</v>
      </c>
    </row>
    <row r="1659" spans="15:16" x14ac:dyDescent="0.2">
      <c r="O1659" s="38" t="s">
        <v>488</v>
      </c>
      <c r="P1659" s="47" t="s">
        <v>116</v>
      </c>
    </row>
    <row r="1660" spans="15:16" x14ac:dyDescent="0.2">
      <c r="O1660" s="37" t="s">
        <v>1463</v>
      </c>
      <c r="P1660" s="46" t="s">
        <v>116</v>
      </c>
    </row>
    <row r="1661" spans="15:16" x14ac:dyDescent="0.2">
      <c r="O1661" s="38" t="s">
        <v>1070</v>
      </c>
      <c r="P1661" s="47" t="s">
        <v>116</v>
      </c>
    </row>
    <row r="1662" spans="15:16" x14ac:dyDescent="0.2">
      <c r="O1662" s="37" t="s">
        <v>861</v>
      </c>
      <c r="P1662" s="46" t="s">
        <v>116</v>
      </c>
    </row>
    <row r="1663" spans="15:16" x14ac:dyDescent="0.2">
      <c r="O1663" s="38" t="s">
        <v>1464</v>
      </c>
      <c r="P1663" s="47" t="s">
        <v>116</v>
      </c>
    </row>
    <row r="1664" spans="15:16" x14ac:dyDescent="0.2">
      <c r="O1664" s="37" t="s">
        <v>1465</v>
      </c>
      <c r="P1664" s="46" t="s">
        <v>116</v>
      </c>
    </row>
    <row r="1665" spans="15:16" x14ac:dyDescent="0.2">
      <c r="O1665" s="38" t="s">
        <v>383</v>
      </c>
      <c r="P1665" s="47" t="s">
        <v>116</v>
      </c>
    </row>
    <row r="1666" spans="15:16" x14ac:dyDescent="0.2">
      <c r="O1666" s="37" t="s">
        <v>863</v>
      </c>
      <c r="P1666" s="46" t="s">
        <v>116</v>
      </c>
    </row>
    <row r="1667" spans="15:16" x14ac:dyDescent="0.2">
      <c r="O1667" s="38" t="s">
        <v>962</v>
      </c>
      <c r="P1667" s="47" t="s">
        <v>116</v>
      </c>
    </row>
    <row r="1668" spans="15:16" x14ac:dyDescent="0.2">
      <c r="O1668" s="37" t="s">
        <v>1004</v>
      </c>
      <c r="P1668" s="46" t="s">
        <v>116</v>
      </c>
    </row>
    <row r="1669" spans="15:16" x14ac:dyDescent="0.2">
      <c r="O1669" s="38" t="s">
        <v>1466</v>
      </c>
      <c r="P1669" s="47" t="s">
        <v>116</v>
      </c>
    </row>
    <row r="1670" spans="15:16" x14ac:dyDescent="0.2">
      <c r="O1670" s="37" t="s">
        <v>605</v>
      </c>
      <c r="P1670" s="46" t="s">
        <v>116</v>
      </c>
    </row>
    <row r="1671" spans="15:16" x14ac:dyDescent="0.2">
      <c r="O1671" s="38" t="s">
        <v>390</v>
      </c>
      <c r="P1671" s="47" t="s">
        <v>116</v>
      </c>
    </row>
    <row r="1672" spans="15:16" x14ac:dyDescent="0.2">
      <c r="O1672" s="37" t="s">
        <v>1467</v>
      </c>
      <c r="P1672" s="46" t="s">
        <v>116</v>
      </c>
    </row>
    <row r="1673" spans="15:16" x14ac:dyDescent="0.2">
      <c r="O1673" s="38" t="s">
        <v>1468</v>
      </c>
      <c r="P1673" s="47" t="s">
        <v>116</v>
      </c>
    </row>
    <row r="1674" spans="15:16" x14ac:dyDescent="0.2">
      <c r="O1674" s="37" t="s">
        <v>610</v>
      </c>
      <c r="P1674" s="46" t="s">
        <v>116</v>
      </c>
    </row>
    <row r="1675" spans="15:16" x14ac:dyDescent="0.2">
      <c r="O1675" s="38" t="s">
        <v>1295</v>
      </c>
      <c r="P1675" s="47" t="s">
        <v>116</v>
      </c>
    </row>
    <row r="1676" spans="15:16" x14ac:dyDescent="0.2">
      <c r="O1676" s="37" t="s">
        <v>1469</v>
      </c>
      <c r="P1676" s="46" t="s">
        <v>116</v>
      </c>
    </row>
    <row r="1677" spans="15:16" x14ac:dyDescent="0.2">
      <c r="O1677" s="38" t="s">
        <v>742</v>
      </c>
      <c r="P1677" s="47" t="s">
        <v>116</v>
      </c>
    </row>
    <row r="1678" spans="15:16" x14ac:dyDescent="0.2">
      <c r="O1678" s="37" t="s">
        <v>1470</v>
      </c>
      <c r="P1678" s="46" t="s">
        <v>116</v>
      </c>
    </row>
    <row r="1679" spans="15:16" x14ac:dyDescent="0.2">
      <c r="O1679" s="38" t="s">
        <v>1471</v>
      </c>
      <c r="P1679" s="47" t="s">
        <v>116</v>
      </c>
    </row>
    <row r="1680" spans="15:16" x14ac:dyDescent="0.2">
      <c r="O1680" s="37" t="s">
        <v>745</v>
      </c>
      <c r="P1680" s="46" t="s">
        <v>116</v>
      </c>
    </row>
    <row r="1681" spans="15:16" x14ac:dyDescent="0.2">
      <c r="O1681" s="38" t="s">
        <v>614</v>
      </c>
      <c r="P1681" s="47" t="s">
        <v>116</v>
      </c>
    </row>
    <row r="1682" spans="15:16" x14ac:dyDescent="0.2">
      <c r="O1682" s="37" t="s">
        <v>1472</v>
      </c>
      <c r="P1682" s="46" t="s">
        <v>116</v>
      </c>
    </row>
    <row r="1683" spans="15:16" x14ac:dyDescent="0.2">
      <c r="O1683" s="38" t="s">
        <v>1297</v>
      </c>
      <c r="P1683" s="47" t="s">
        <v>116</v>
      </c>
    </row>
    <row r="1684" spans="15:16" x14ac:dyDescent="0.2">
      <c r="O1684" s="37" t="s">
        <v>406</v>
      </c>
      <c r="P1684" s="46" t="s">
        <v>116</v>
      </c>
    </row>
    <row r="1685" spans="15:16" x14ac:dyDescent="0.2">
      <c r="O1685" s="38" t="s">
        <v>1473</v>
      </c>
      <c r="P1685" s="47" t="s">
        <v>116</v>
      </c>
    </row>
    <row r="1686" spans="15:16" x14ac:dyDescent="0.2">
      <c r="O1686" s="37" t="s">
        <v>1474</v>
      </c>
      <c r="P1686" s="46" t="s">
        <v>116</v>
      </c>
    </row>
    <row r="1687" spans="15:16" x14ac:dyDescent="0.2">
      <c r="O1687" s="38" t="s">
        <v>1475</v>
      </c>
      <c r="P1687" s="47" t="s">
        <v>116</v>
      </c>
    </row>
    <row r="1688" spans="15:16" x14ac:dyDescent="0.2">
      <c r="O1688" s="37" t="s">
        <v>1476</v>
      </c>
      <c r="P1688" s="46" t="s">
        <v>116</v>
      </c>
    </row>
    <row r="1689" spans="15:16" x14ac:dyDescent="0.2">
      <c r="O1689" s="38" t="s">
        <v>619</v>
      </c>
      <c r="P1689" s="47" t="s">
        <v>116</v>
      </c>
    </row>
    <row r="1690" spans="15:16" x14ac:dyDescent="0.2">
      <c r="O1690" s="37" t="s">
        <v>1477</v>
      </c>
      <c r="P1690" s="46" t="s">
        <v>116</v>
      </c>
    </row>
    <row r="1691" spans="15:16" x14ac:dyDescent="0.2">
      <c r="O1691" s="38" t="s">
        <v>505</v>
      </c>
      <c r="P1691" s="47" t="s">
        <v>116</v>
      </c>
    </row>
    <row r="1692" spans="15:16" x14ac:dyDescent="0.2">
      <c r="O1692" s="37" t="s">
        <v>1018</v>
      </c>
      <c r="P1692" s="46" t="s">
        <v>116</v>
      </c>
    </row>
    <row r="1693" spans="15:16" x14ac:dyDescent="0.2">
      <c r="O1693" s="38" t="s">
        <v>763</v>
      </c>
      <c r="P1693" s="47" t="s">
        <v>116</v>
      </c>
    </row>
    <row r="1694" spans="15:16" x14ac:dyDescent="0.2">
      <c r="O1694" s="37" t="s">
        <v>682</v>
      </c>
      <c r="P1694" s="46" t="s">
        <v>116</v>
      </c>
    </row>
    <row r="1695" spans="15:16" x14ac:dyDescent="0.2">
      <c r="O1695" s="38" t="s">
        <v>1091</v>
      </c>
      <c r="P1695" s="47" t="s">
        <v>116</v>
      </c>
    </row>
    <row r="1696" spans="15:16" x14ac:dyDescent="0.2">
      <c r="O1696" s="37" t="s">
        <v>1478</v>
      </c>
      <c r="P1696" s="46" t="s">
        <v>116</v>
      </c>
    </row>
    <row r="1697" spans="15:16" x14ac:dyDescent="0.2">
      <c r="O1697" s="38" t="s">
        <v>1479</v>
      </c>
      <c r="P1697" s="47" t="s">
        <v>116</v>
      </c>
    </row>
    <row r="1698" spans="15:16" x14ac:dyDescent="0.2">
      <c r="O1698" s="37" t="s">
        <v>1396</v>
      </c>
      <c r="P1698" s="46" t="s">
        <v>116</v>
      </c>
    </row>
    <row r="1699" spans="15:16" x14ac:dyDescent="0.2">
      <c r="O1699" s="38" t="s">
        <v>1480</v>
      </c>
      <c r="P1699" s="47" t="s">
        <v>116</v>
      </c>
    </row>
    <row r="1700" spans="15:16" x14ac:dyDescent="0.2">
      <c r="O1700" s="37" t="s">
        <v>508</v>
      </c>
      <c r="P1700" s="46" t="s">
        <v>116</v>
      </c>
    </row>
    <row r="1701" spans="15:16" x14ac:dyDescent="0.2">
      <c r="O1701" s="38" t="s">
        <v>413</v>
      </c>
      <c r="P1701" s="47" t="s">
        <v>116</v>
      </c>
    </row>
    <row r="1702" spans="15:16" x14ac:dyDescent="0.2">
      <c r="O1702" s="37" t="s">
        <v>511</v>
      </c>
      <c r="P1702" s="46" t="s">
        <v>116</v>
      </c>
    </row>
    <row r="1703" spans="15:16" x14ac:dyDescent="0.2">
      <c r="O1703" s="38" t="s">
        <v>1481</v>
      </c>
      <c r="P1703" s="47" t="s">
        <v>116</v>
      </c>
    </row>
    <row r="1704" spans="15:16" x14ac:dyDescent="0.2">
      <c r="O1704" s="37" t="s">
        <v>1482</v>
      </c>
      <c r="P1704" s="46" t="s">
        <v>116</v>
      </c>
    </row>
    <row r="1705" spans="15:16" x14ac:dyDescent="0.2">
      <c r="O1705" s="38" t="s">
        <v>1483</v>
      </c>
      <c r="P1705" s="47" t="s">
        <v>116</v>
      </c>
    </row>
    <row r="1706" spans="15:16" x14ac:dyDescent="0.2">
      <c r="O1706" s="37" t="s">
        <v>1484</v>
      </c>
      <c r="P1706" s="46" t="s">
        <v>116</v>
      </c>
    </row>
    <row r="1707" spans="15:16" x14ac:dyDescent="0.2">
      <c r="O1707" s="38" t="s">
        <v>884</v>
      </c>
      <c r="P1707" s="47" t="s">
        <v>116</v>
      </c>
    </row>
    <row r="1708" spans="15:16" x14ac:dyDescent="0.2">
      <c r="O1708" s="37" t="s">
        <v>1485</v>
      </c>
      <c r="P1708" s="46" t="s">
        <v>116</v>
      </c>
    </row>
    <row r="1709" spans="15:16" x14ac:dyDescent="0.2">
      <c r="O1709" s="38" t="s">
        <v>513</v>
      </c>
      <c r="P1709" s="47" t="s">
        <v>116</v>
      </c>
    </row>
    <row r="1710" spans="15:16" x14ac:dyDescent="0.2">
      <c r="O1710" s="37" t="s">
        <v>515</v>
      </c>
      <c r="P1710" s="46" t="s">
        <v>116</v>
      </c>
    </row>
    <row r="1711" spans="15:16" x14ac:dyDescent="0.2">
      <c r="O1711" s="38" t="s">
        <v>1486</v>
      </c>
      <c r="P1711" s="47" t="s">
        <v>116</v>
      </c>
    </row>
    <row r="1712" spans="15:16" x14ac:dyDescent="0.2">
      <c r="O1712" s="37" t="s">
        <v>1030</v>
      </c>
      <c r="P1712" s="46" t="s">
        <v>116</v>
      </c>
    </row>
    <row r="1713" spans="15:16" x14ac:dyDescent="0.2">
      <c r="O1713" s="38" t="s">
        <v>421</v>
      </c>
      <c r="P1713" s="47" t="s">
        <v>116</v>
      </c>
    </row>
    <row r="1714" spans="15:16" x14ac:dyDescent="0.2">
      <c r="O1714" s="37" t="s">
        <v>1487</v>
      </c>
      <c r="P1714" s="46" t="s">
        <v>116</v>
      </c>
    </row>
    <row r="1715" spans="15:16" x14ac:dyDescent="0.2">
      <c r="O1715" s="38" t="s">
        <v>1488</v>
      </c>
      <c r="P1715" s="47" t="s">
        <v>116</v>
      </c>
    </row>
    <row r="1716" spans="15:16" x14ac:dyDescent="0.2">
      <c r="O1716" s="37" t="s">
        <v>1489</v>
      </c>
      <c r="P1716" s="46" t="s">
        <v>116</v>
      </c>
    </row>
    <row r="1717" spans="15:16" x14ac:dyDescent="0.2">
      <c r="O1717" s="38" t="s">
        <v>1034</v>
      </c>
      <c r="P1717" s="47" t="s">
        <v>116</v>
      </c>
    </row>
    <row r="1718" spans="15:16" x14ac:dyDescent="0.2">
      <c r="O1718" s="37" t="s">
        <v>1490</v>
      </c>
      <c r="P1718" s="46" t="s">
        <v>116</v>
      </c>
    </row>
    <row r="1719" spans="15:16" x14ac:dyDescent="0.2">
      <c r="O1719" s="38" t="s">
        <v>1491</v>
      </c>
      <c r="P1719" s="47" t="s">
        <v>116</v>
      </c>
    </row>
    <row r="1720" spans="15:16" x14ac:dyDescent="0.2">
      <c r="O1720" s="37" t="s">
        <v>1041</v>
      </c>
      <c r="P1720" s="46" t="s">
        <v>116</v>
      </c>
    </row>
    <row r="1721" spans="15:16" x14ac:dyDescent="0.2">
      <c r="O1721" s="38" t="s">
        <v>1492</v>
      </c>
      <c r="P1721" s="47" t="s">
        <v>116</v>
      </c>
    </row>
    <row r="1722" spans="15:16" x14ac:dyDescent="0.2">
      <c r="O1722" s="37" t="s">
        <v>1408</v>
      </c>
      <c r="P1722" s="46" t="s">
        <v>116</v>
      </c>
    </row>
    <row r="1723" spans="15:16" x14ac:dyDescent="0.2">
      <c r="O1723" s="38" t="s">
        <v>788</v>
      </c>
      <c r="P1723" s="47" t="s">
        <v>116</v>
      </c>
    </row>
    <row r="1724" spans="15:16" x14ac:dyDescent="0.2">
      <c r="O1724" s="37" t="s">
        <v>1409</v>
      </c>
      <c r="P1724" s="46" t="s">
        <v>116</v>
      </c>
    </row>
    <row r="1725" spans="15:16" x14ac:dyDescent="0.2">
      <c r="O1725" s="38" t="s">
        <v>524</v>
      </c>
      <c r="P1725" s="47" t="s">
        <v>116</v>
      </c>
    </row>
    <row r="1726" spans="15:16" x14ac:dyDescent="0.2">
      <c r="O1726" s="37" t="s">
        <v>1493</v>
      </c>
      <c r="P1726" s="46" t="s">
        <v>116</v>
      </c>
    </row>
    <row r="1727" spans="15:16" x14ac:dyDescent="0.2">
      <c r="O1727" s="38" t="s">
        <v>1494</v>
      </c>
      <c r="P1727" s="47" t="s">
        <v>116</v>
      </c>
    </row>
    <row r="1728" spans="15:16" x14ac:dyDescent="0.2">
      <c r="O1728" s="37" t="s">
        <v>1329</v>
      </c>
      <c r="P1728" s="46" t="s">
        <v>116</v>
      </c>
    </row>
    <row r="1729" spans="15:16" x14ac:dyDescent="0.2">
      <c r="O1729" s="38" t="s">
        <v>529</v>
      </c>
      <c r="P1729" s="47" t="s">
        <v>116</v>
      </c>
    </row>
    <row r="1730" spans="15:16" x14ac:dyDescent="0.2">
      <c r="O1730" s="37" t="s">
        <v>1495</v>
      </c>
      <c r="P1730" s="46" t="s">
        <v>116</v>
      </c>
    </row>
    <row r="1731" spans="15:16" x14ac:dyDescent="0.2">
      <c r="O1731" s="38" t="s">
        <v>1496</v>
      </c>
      <c r="P1731" s="47" t="s">
        <v>116</v>
      </c>
    </row>
    <row r="1732" spans="15:16" x14ac:dyDescent="0.2">
      <c r="O1732" s="37" t="s">
        <v>1497</v>
      </c>
      <c r="P1732" s="46" t="s">
        <v>116</v>
      </c>
    </row>
    <row r="1733" spans="15:16" x14ac:dyDescent="0.2">
      <c r="O1733" s="38" t="s">
        <v>1050</v>
      </c>
      <c r="P1733" s="47" t="s">
        <v>116</v>
      </c>
    </row>
    <row r="1734" spans="15:16" x14ac:dyDescent="0.2">
      <c r="O1734" s="37" t="s">
        <v>1052</v>
      </c>
      <c r="P1734" s="46" t="s">
        <v>116</v>
      </c>
    </row>
    <row r="1735" spans="15:16" x14ac:dyDescent="0.2">
      <c r="O1735" s="38" t="s">
        <v>1053</v>
      </c>
      <c r="P1735" s="47" t="s">
        <v>116</v>
      </c>
    </row>
    <row r="1736" spans="15:16" x14ac:dyDescent="0.2">
      <c r="O1736" s="37" t="s">
        <v>992</v>
      </c>
      <c r="P1736" s="46" t="s">
        <v>116</v>
      </c>
    </row>
    <row r="1737" spans="15:16" x14ac:dyDescent="0.2">
      <c r="O1737" s="38" t="s">
        <v>1056</v>
      </c>
      <c r="P1737" s="47" t="s">
        <v>116</v>
      </c>
    </row>
    <row r="1738" spans="15:16" x14ac:dyDescent="0.2">
      <c r="O1738" s="37" t="s">
        <v>1498</v>
      </c>
      <c r="P1738" s="46" t="s">
        <v>116</v>
      </c>
    </row>
    <row r="1739" spans="15:16" x14ac:dyDescent="0.2">
      <c r="O1739" s="38" t="s">
        <v>803</v>
      </c>
      <c r="P1739" s="47" t="s">
        <v>116</v>
      </c>
    </row>
    <row r="1740" spans="15:16" x14ac:dyDescent="0.2">
      <c r="O1740" s="37" t="s">
        <v>1499</v>
      </c>
      <c r="P1740" s="46" t="s">
        <v>116</v>
      </c>
    </row>
    <row r="1741" spans="15:16" x14ac:dyDescent="0.2">
      <c r="O1741" s="38" t="s">
        <v>858</v>
      </c>
      <c r="P1741" s="47" t="s">
        <v>116</v>
      </c>
    </row>
    <row r="1742" spans="15:16" x14ac:dyDescent="0.2">
      <c r="O1742" s="37" t="s">
        <v>441</v>
      </c>
      <c r="P1742" s="46" t="s">
        <v>116</v>
      </c>
    </row>
    <row r="1743" spans="15:16" x14ac:dyDescent="0.2">
      <c r="O1743" s="38" t="s">
        <v>814</v>
      </c>
      <c r="P1743" s="47" t="s">
        <v>116</v>
      </c>
    </row>
    <row r="1744" spans="15:16" x14ac:dyDescent="0.2">
      <c r="O1744" s="37" t="s">
        <v>815</v>
      </c>
      <c r="P1744" s="46" t="s">
        <v>116</v>
      </c>
    </row>
    <row r="1745" spans="15:16" x14ac:dyDescent="0.2">
      <c r="O1745" s="38" t="s">
        <v>816</v>
      </c>
      <c r="P1745" s="47" t="s">
        <v>116</v>
      </c>
    </row>
    <row r="1746" spans="15:16" x14ac:dyDescent="0.2">
      <c r="O1746" s="37" t="s">
        <v>1194</v>
      </c>
      <c r="P1746" s="46" t="s">
        <v>116</v>
      </c>
    </row>
    <row r="1747" spans="15:16" x14ac:dyDescent="0.2">
      <c r="O1747" s="38" t="s">
        <v>1500</v>
      </c>
      <c r="P1747" s="47" t="s">
        <v>115</v>
      </c>
    </row>
    <row r="1748" spans="15:16" x14ac:dyDescent="0.2">
      <c r="O1748" s="37" t="s">
        <v>492</v>
      </c>
      <c r="P1748" s="46" t="s">
        <v>115</v>
      </c>
    </row>
    <row r="1749" spans="15:16" x14ac:dyDescent="0.2">
      <c r="O1749" s="38" t="s">
        <v>614</v>
      </c>
      <c r="P1749" s="47" t="s">
        <v>115</v>
      </c>
    </row>
    <row r="1750" spans="15:16" x14ac:dyDescent="0.2">
      <c r="O1750" s="37" t="s">
        <v>1501</v>
      </c>
      <c r="P1750" s="46" t="s">
        <v>115</v>
      </c>
    </row>
    <row r="1751" spans="15:16" x14ac:dyDescent="0.2">
      <c r="O1751" s="38" t="s">
        <v>1502</v>
      </c>
      <c r="P1751" s="47" t="s">
        <v>115</v>
      </c>
    </row>
    <row r="1752" spans="15:16" x14ac:dyDescent="0.2">
      <c r="O1752" s="37" t="s">
        <v>1503</v>
      </c>
      <c r="P1752" s="46" t="s">
        <v>115</v>
      </c>
    </row>
    <row r="1753" spans="15:16" x14ac:dyDescent="0.2">
      <c r="O1753" s="38" t="s">
        <v>552</v>
      </c>
      <c r="P1753" s="47" t="s">
        <v>115</v>
      </c>
    </row>
    <row r="1754" spans="15:16" x14ac:dyDescent="0.2">
      <c r="O1754" s="37" t="s">
        <v>1504</v>
      </c>
      <c r="P1754" s="46" t="s">
        <v>115</v>
      </c>
    </row>
    <row r="1755" spans="15:16" x14ac:dyDescent="0.2">
      <c r="O1755" s="38" t="s">
        <v>513</v>
      </c>
      <c r="P1755" s="47" t="s">
        <v>115</v>
      </c>
    </row>
    <row r="1756" spans="15:16" x14ac:dyDescent="0.2">
      <c r="O1756" s="37" t="s">
        <v>978</v>
      </c>
      <c r="P1756" s="46" t="s">
        <v>115</v>
      </c>
    </row>
    <row r="1757" spans="15:16" x14ac:dyDescent="0.2">
      <c r="O1757" s="38" t="s">
        <v>631</v>
      </c>
      <c r="P1757" s="47" t="s">
        <v>115</v>
      </c>
    </row>
    <row r="1758" spans="15:16" x14ac:dyDescent="0.2">
      <c r="O1758" s="37" t="s">
        <v>1505</v>
      </c>
      <c r="P1758" s="46" t="s">
        <v>115</v>
      </c>
    </row>
    <row r="1759" spans="15:16" x14ac:dyDescent="0.2">
      <c r="O1759" s="38" t="s">
        <v>1506</v>
      </c>
      <c r="P1759" s="47" t="s">
        <v>115</v>
      </c>
    </row>
    <row r="1760" spans="15:16" x14ac:dyDescent="0.2">
      <c r="O1760" s="37" t="s">
        <v>1507</v>
      </c>
      <c r="P1760" s="46" t="s">
        <v>115</v>
      </c>
    </row>
    <row r="1761" spans="15:16" x14ac:dyDescent="0.2">
      <c r="O1761" s="38" t="s">
        <v>1508</v>
      </c>
      <c r="P1761" s="47" t="s">
        <v>115</v>
      </c>
    </row>
    <row r="1762" spans="15:16" x14ac:dyDescent="0.2">
      <c r="O1762" s="37" t="s">
        <v>1509</v>
      </c>
      <c r="P1762" s="46" t="s">
        <v>115</v>
      </c>
    </row>
    <row r="1763" spans="15:16" x14ac:dyDescent="0.2">
      <c r="O1763" s="38" t="s">
        <v>1510</v>
      </c>
      <c r="P1763" s="47" t="s">
        <v>115</v>
      </c>
    </row>
    <row r="1764" spans="15:16" x14ac:dyDescent="0.2">
      <c r="O1764" s="37" t="s">
        <v>1511</v>
      </c>
      <c r="P1764" s="46" t="s">
        <v>114</v>
      </c>
    </row>
    <row r="1765" spans="15:16" x14ac:dyDescent="0.2">
      <c r="O1765" s="38" t="s">
        <v>490</v>
      </c>
      <c r="P1765" s="47" t="s">
        <v>114</v>
      </c>
    </row>
    <row r="1766" spans="15:16" x14ac:dyDescent="0.2">
      <c r="O1766" s="37" t="s">
        <v>1512</v>
      </c>
      <c r="P1766" s="46" t="s">
        <v>114</v>
      </c>
    </row>
    <row r="1767" spans="15:16" x14ac:dyDescent="0.2">
      <c r="O1767" s="38" t="s">
        <v>1513</v>
      </c>
      <c r="P1767" s="47" t="s">
        <v>114</v>
      </c>
    </row>
    <row r="1768" spans="15:16" x14ac:dyDescent="0.2">
      <c r="O1768" s="37" t="s">
        <v>1514</v>
      </c>
      <c r="P1768" s="46" t="s">
        <v>114</v>
      </c>
    </row>
    <row r="1769" spans="15:16" x14ac:dyDescent="0.2">
      <c r="O1769" s="38" t="s">
        <v>687</v>
      </c>
      <c r="P1769" s="47" t="s">
        <v>114</v>
      </c>
    </row>
    <row r="1770" spans="15:16" x14ac:dyDescent="0.2">
      <c r="O1770" s="37" t="s">
        <v>1515</v>
      </c>
      <c r="P1770" s="46" t="s">
        <v>114</v>
      </c>
    </row>
    <row r="1771" spans="15:16" x14ac:dyDescent="0.2">
      <c r="O1771" s="38" t="s">
        <v>1516</v>
      </c>
      <c r="P1771" s="47" t="s">
        <v>114</v>
      </c>
    </row>
    <row r="1772" spans="15:16" x14ac:dyDescent="0.2">
      <c r="O1772" s="37" t="s">
        <v>1517</v>
      </c>
      <c r="P1772" s="46" t="s">
        <v>114</v>
      </c>
    </row>
    <row r="1773" spans="15:16" x14ac:dyDescent="0.2">
      <c r="O1773" s="38" t="s">
        <v>944</v>
      </c>
      <c r="P1773" s="47" t="s">
        <v>114</v>
      </c>
    </row>
    <row r="1774" spans="15:16" x14ac:dyDescent="0.2">
      <c r="O1774" s="37" t="s">
        <v>1518</v>
      </c>
      <c r="P1774" s="46" t="s">
        <v>113</v>
      </c>
    </row>
    <row r="1775" spans="15:16" x14ac:dyDescent="0.2">
      <c r="O1775" s="38" t="s">
        <v>1519</v>
      </c>
      <c r="P1775" s="47" t="s">
        <v>113</v>
      </c>
    </row>
    <row r="1776" spans="15:16" x14ac:dyDescent="0.2">
      <c r="O1776" s="37" t="s">
        <v>1520</v>
      </c>
      <c r="P1776" s="46" t="s">
        <v>113</v>
      </c>
    </row>
    <row r="1777" spans="15:16" x14ac:dyDescent="0.2">
      <c r="O1777" s="38" t="s">
        <v>728</v>
      </c>
      <c r="P1777" s="47" t="s">
        <v>113</v>
      </c>
    </row>
    <row r="1778" spans="15:16" x14ac:dyDescent="0.2">
      <c r="O1778" s="37" t="s">
        <v>1521</v>
      </c>
      <c r="P1778" s="46" t="s">
        <v>113</v>
      </c>
    </row>
    <row r="1779" spans="15:16" x14ac:dyDescent="0.2">
      <c r="O1779" s="38" t="s">
        <v>868</v>
      </c>
      <c r="P1779" s="47" t="s">
        <v>113</v>
      </c>
    </row>
    <row r="1780" spans="15:16" x14ac:dyDescent="0.2">
      <c r="O1780" s="37" t="s">
        <v>1216</v>
      </c>
      <c r="P1780" s="46" t="s">
        <v>113</v>
      </c>
    </row>
    <row r="1781" spans="15:16" x14ac:dyDescent="0.2">
      <c r="O1781" s="38" t="s">
        <v>1522</v>
      </c>
      <c r="P1781" s="47" t="s">
        <v>113</v>
      </c>
    </row>
    <row r="1782" spans="15:16" x14ac:dyDescent="0.2">
      <c r="O1782" s="37" t="s">
        <v>1523</v>
      </c>
      <c r="P1782" s="46" t="s">
        <v>113</v>
      </c>
    </row>
    <row r="1783" spans="15:16" x14ac:dyDescent="0.2">
      <c r="O1783" s="38" t="s">
        <v>1524</v>
      </c>
      <c r="P1783" s="47" t="s">
        <v>113</v>
      </c>
    </row>
    <row r="1784" spans="15:16" x14ac:dyDescent="0.2">
      <c r="O1784" s="37" t="s">
        <v>894</v>
      </c>
      <c r="P1784" s="46" t="s">
        <v>113</v>
      </c>
    </row>
    <row r="1785" spans="15:16" x14ac:dyDescent="0.2">
      <c r="O1785" s="38" t="s">
        <v>654</v>
      </c>
      <c r="P1785" s="47" t="s">
        <v>113</v>
      </c>
    </row>
    <row r="1786" spans="15:16" x14ac:dyDescent="0.2">
      <c r="O1786" s="37" t="s">
        <v>1525</v>
      </c>
      <c r="P1786" s="46" t="s">
        <v>113</v>
      </c>
    </row>
    <row r="1787" spans="15:16" x14ac:dyDescent="0.2">
      <c r="O1787" s="38" t="s">
        <v>1032</v>
      </c>
      <c r="P1787" s="47" t="s">
        <v>113</v>
      </c>
    </row>
    <row r="1788" spans="15:16" x14ac:dyDescent="0.2">
      <c r="O1788" s="37" t="s">
        <v>1526</v>
      </c>
      <c r="P1788" s="46" t="s">
        <v>113</v>
      </c>
    </row>
    <row r="1789" spans="15:16" x14ac:dyDescent="0.2">
      <c r="O1789" s="38" t="s">
        <v>1527</v>
      </c>
      <c r="P1789" s="47" t="s">
        <v>113</v>
      </c>
    </row>
    <row r="1790" spans="15:16" x14ac:dyDescent="0.2">
      <c r="O1790" s="37" t="s">
        <v>1528</v>
      </c>
      <c r="P1790" s="46" t="s">
        <v>113</v>
      </c>
    </row>
    <row r="1791" spans="15:16" x14ac:dyDescent="0.2">
      <c r="O1791" s="38" t="s">
        <v>1192</v>
      </c>
      <c r="P1791" s="47" t="s">
        <v>113</v>
      </c>
    </row>
    <row r="1792" spans="15:16" x14ac:dyDescent="0.2">
      <c r="O1792" s="37" t="s">
        <v>661</v>
      </c>
      <c r="P1792" s="46" t="s">
        <v>113</v>
      </c>
    </row>
    <row r="1793" spans="15:16" x14ac:dyDescent="0.2">
      <c r="O1793" s="38" t="s">
        <v>536</v>
      </c>
      <c r="P1793" s="47" t="s">
        <v>113</v>
      </c>
    </row>
    <row r="1794" spans="15:16" x14ac:dyDescent="0.2">
      <c r="O1794" s="37" t="s">
        <v>813</v>
      </c>
      <c r="P1794" s="46" t="s">
        <v>113</v>
      </c>
    </row>
    <row r="1795" spans="15:16" x14ac:dyDescent="0.2">
      <c r="O1795" s="38" t="s">
        <v>1529</v>
      </c>
      <c r="P1795" s="47" t="s">
        <v>112</v>
      </c>
    </row>
    <row r="1796" spans="15:16" x14ac:dyDescent="0.2">
      <c r="O1796" s="37" t="s">
        <v>1530</v>
      </c>
      <c r="P1796" s="46" t="s">
        <v>112</v>
      </c>
    </row>
    <row r="1797" spans="15:16" x14ac:dyDescent="0.2">
      <c r="O1797" s="38" t="s">
        <v>1531</v>
      </c>
      <c r="P1797" s="47" t="s">
        <v>112</v>
      </c>
    </row>
    <row r="1798" spans="15:16" x14ac:dyDescent="0.2">
      <c r="O1798" s="37" t="s">
        <v>1532</v>
      </c>
      <c r="P1798" s="46" t="s">
        <v>112</v>
      </c>
    </row>
    <row r="1799" spans="15:16" x14ac:dyDescent="0.2">
      <c r="O1799" s="38" t="s">
        <v>1467</v>
      </c>
      <c r="P1799" s="47" t="s">
        <v>112</v>
      </c>
    </row>
    <row r="1800" spans="15:16" x14ac:dyDescent="0.2">
      <c r="O1800" s="37" t="s">
        <v>1533</v>
      </c>
      <c r="P1800" s="46" t="s">
        <v>112</v>
      </c>
    </row>
    <row r="1801" spans="15:16" x14ac:dyDescent="0.2">
      <c r="O1801" s="38" t="s">
        <v>1534</v>
      </c>
      <c r="P1801" s="47" t="s">
        <v>112</v>
      </c>
    </row>
    <row r="1802" spans="15:16" x14ac:dyDescent="0.2">
      <c r="O1802" s="37" t="s">
        <v>1535</v>
      </c>
      <c r="P1802" s="46" t="s">
        <v>112</v>
      </c>
    </row>
    <row r="1803" spans="15:16" x14ac:dyDescent="0.2">
      <c r="O1803" s="38" t="s">
        <v>1536</v>
      </c>
      <c r="P1803" s="47" t="s">
        <v>112</v>
      </c>
    </row>
    <row r="1804" spans="15:16" x14ac:dyDescent="0.2">
      <c r="O1804" s="37" t="s">
        <v>505</v>
      </c>
      <c r="P1804" s="46" t="s">
        <v>112</v>
      </c>
    </row>
    <row r="1805" spans="15:16" x14ac:dyDescent="0.2">
      <c r="O1805" s="38" t="s">
        <v>1537</v>
      </c>
      <c r="P1805" s="47" t="s">
        <v>112</v>
      </c>
    </row>
    <row r="1806" spans="15:16" x14ac:dyDescent="0.2">
      <c r="O1806" s="37" t="s">
        <v>1538</v>
      </c>
      <c r="P1806" s="46" t="s">
        <v>112</v>
      </c>
    </row>
    <row r="1807" spans="15:16" x14ac:dyDescent="0.2">
      <c r="O1807" s="38" t="s">
        <v>1539</v>
      </c>
      <c r="P1807" s="47" t="s">
        <v>112</v>
      </c>
    </row>
    <row r="1808" spans="15:16" x14ac:dyDescent="0.2">
      <c r="O1808" s="37" t="s">
        <v>1540</v>
      </c>
      <c r="P1808" s="46" t="s">
        <v>112</v>
      </c>
    </row>
    <row r="1809" spans="15:16" x14ac:dyDescent="0.2">
      <c r="O1809" s="38" t="s">
        <v>513</v>
      </c>
      <c r="P1809" s="47" t="s">
        <v>112</v>
      </c>
    </row>
    <row r="1810" spans="15:16" x14ac:dyDescent="0.2">
      <c r="O1810" s="37" t="s">
        <v>1541</v>
      </c>
      <c r="P1810" s="46" t="s">
        <v>112</v>
      </c>
    </row>
    <row r="1811" spans="15:16" x14ac:dyDescent="0.2">
      <c r="O1811" s="38" t="s">
        <v>1542</v>
      </c>
      <c r="P1811" s="47" t="s">
        <v>112</v>
      </c>
    </row>
    <row r="1812" spans="15:16" x14ac:dyDescent="0.2">
      <c r="O1812" s="37" t="s">
        <v>1543</v>
      </c>
      <c r="P1812" s="46" t="s">
        <v>112</v>
      </c>
    </row>
    <row r="1813" spans="15:16" x14ac:dyDescent="0.2">
      <c r="O1813" s="38" t="s">
        <v>1544</v>
      </c>
      <c r="P1813" s="47" t="s">
        <v>112</v>
      </c>
    </row>
    <row r="1814" spans="15:16" x14ac:dyDescent="0.2">
      <c r="O1814" s="37" t="s">
        <v>635</v>
      </c>
      <c r="P1814" s="46" t="s">
        <v>112</v>
      </c>
    </row>
    <row r="1815" spans="15:16" x14ac:dyDescent="0.2">
      <c r="O1815" s="38" t="s">
        <v>1545</v>
      </c>
      <c r="P1815" s="47" t="s">
        <v>112</v>
      </c>
    </row>
    <row r="1816" spans="15:16" x14ac:dyDescent="0.2">
      <c r="O1816" s="37" t="s">
        <v>1546</v>
      </c>
      <c r="P1816" s="46" t="s">
        <v>112</v>
      </c>
    </row>
    <row r="1817" spans="15:16" x14ac:dyDescent="0.2">
      <c r="O1817" s="38" t="s">
        <v>1448</v>
      </c>
      <c r="P1817" s="47" t="s">
        <v>112</v>
      </c>
    </row>
    <row r="1818" spans="15:16" x14ac:dyDescent="0.2">
      <c r="O1818" s="37" t="s">
        <v>1547</v>
      </c>
      <c r="P1818" s="46" t="s">
        <v>112</v>
      </c>
    </row>
    <row r="1819" spans="15:16" x14ac:dyDescent="0.2">
      <c r="O1819" s="38" t="s">
        <v>645</v>
      </c>
      <c r="P1819" s="47" t="s">
        <v>112</v>
      </c>
    </row>
    <row r="1820" spans="15:16" x14ac:dyDescent="0.2">
      <c r="O1820" s="37" t="s">
        <v>646</v>
      </c>
      <c r="P1820" s="46" t="s">
        <v>112</v>
      </c>
    </row>
    <row r="1821" spans="15:16" x14ac:dyDescent="0.2">
      <c r="O1821" s="38" t="s">
        <v>1548</v>
      </c>
      <c r="P1821" s="47" t="s">
        <v>112</v>
      </c>
    </row>
    <row r="1822" spans="15:16" x14ac:dyDescent="0.2">
      <c r="O1822" s="37" t="s">
        <v>584</v>
      </c>
      <c r="P1822" s="46" t="s">
        <v>112</v>
      </c>
    </row>
    <row r="1823" spans="15:16" x14ac:dyDescent="0.2">
      <c r="O1823" s="38" t="s">
        <v>1549</v>
      </c>
      <c r="P1823" s="47" t="s">
        <v>112</v>
      </c>
    </row>
    <row r="1824" spans="15:16" x14ac:dyDescent="0.2">
      <c r="O1824" s="37" t="s">
        <v>1550</v>
      </c>
      <c r="P1824" s="46" t="s">
        <v>112</v>
      </c>
    </row>
    <row r="1825" spans="15:16" x14ac:dyDescent="0.2">
      <c r="O1825" s="38" t="s">
        <v>1551</v>
      </c>
      <c r="P1825" s="47" t="s">
        <v>112</v>
      </c>
    </row>
    <row r="1826" spans="15:16" x14ac:dyDescent="0.2">
      <c r="O1826" s="37" t="s">
        <v>536</v>
      </c>
      <c r="P1826" s="46" t="s">
        <v>112</v>
      </c>
    </row>
    <row r="1827" spans="15:16" x14ac:dyDescent="0.2">
      <c r="O1827" s="38" t="s">
        <v>1552</v>
      </c>
      <c r="P1827" s="47" t="s">
        <v>112</v>
      </c>
    </row>
    <row r="1828" spans="15:16" x14ac:dyDescent="0.2">
      <c r="O1828" s="37" t="s">
        <v>1553</v>
      </c>
      <c r="P1828" s="46" t="s">
        <v>92</v>
      </c>
    </row>
    <row r="1829" spans="15:16" x14ac:dyDescent="0.2">
      <c r="O1829" s="38" t="s">
        <v>1195</v>
      </c>
      <c r="P1829" s="47" t="s">
        <v>92</v>
      </c>
    </row>
    <row r="1830" spans="15:16" x14ac:dyDescent="0.2">
      <c r="O1830" s="37" t="s">
        <v>1554</v>
      </c>
      <c r="P1830" s="46" t="s">
        <v>92</v>
      </c>
    </row>
    <row r="1831" spans="15:16" x14ac:dyDescent="0.2">
      <c r="O1831" s="38" t="s">
        <v>1555</v>
      </c>
      <c r="P1831" s="47" t="s">
        <v>92</v>
      </c>
    </row>
    <row r="1832" spans="15:16" x14ac:dyDescent="0.2">
      <c r="O1832" s="37" t="s">
        <v>1556</v>
      </c>
      <c r="P1832" s="46" t="s">
        <v>92</v>
      </c>
    </row>
    <row r="1833" spans="15:16" x14ac:dyDescent="0.2">
      <c r="O1833" s="38" t="s">
        <v>1557</v>
      </c>
      <c r="P1833" s="47" t="s">
        <v>92</v>
      </c>
    </row>
    <row r="1834" spans="15:16" x14ac:dyDescent="0.2">
      <c r="O1834" s="37" t="s">
        <v>1005</v>
      </c>
      <c r="P1834" s="46" t="s">
        <v>92</v>
      </c>
    </row>
    <row r="1835" spans="15:16" x14ac:dyDescent="0.2">
      <c r="O1835" s="38" t="s">
        <v>1558</v>
      </c>
      <c r="P1835" s="47" t="s">
        <v>92</v>
      </c>
    </row>
    <row r="1836" spans="15:16" x14ac:dyDescent="0.2">
      <c r="O1836" s="37" t="s">
        <v>1559</v>
      </c>
      <c r="P1836" s="46" t="s">
        <v>92</v>
      </c>
    </row>
    <row r="1837" spans="15:16" x14ac:dyDescent="0.2">
      <c r="O1837" s="38" t="s">
        <v>866</v>
      </c>
      <c r="P1837" s="47" t="s">
        <v>92</v>
      </c>
    </row>
    <row r="1838" spans="15:16" x14ac:dyDescent="0.2">
      <c r="O1838" s="37" t="s">
        <v>494</v>
      </c>
      <c r="P1838" s="46" t="s">
        <v>92</v>
      </c>
    </row>
    <row r="1839" spans="15:16" x14ac:dyDescent="0.2">
      <c r="O1839" s="38" t="s">
        <v>1560</v>
      </c>
      <c r="P1839" s="47" t="s">
        <v>92</v>
      </c>
    </row>
    <row r="1840" spans="15:16" x14ac:dyDescent="0.2">
      <c r="O1840" s="37" t="s">
        <v>918</v>
      </c>
      <c r="P1840" s="46" t="s">
        <v>92</v>
      </c>
    </row>
    <row r="1841" spans="15:16" x14ac:dyDescent="0.2">
      <c r="O1841" s="38" t="s">
        <v>1561</v>
      </c>
      <c r="P1841" s="47" t="s">
        <v>92</v>
      </c>
    </row>
    <row r="1842" spans="15:16" x14ac:dyDescent="0.2">
      <c r="O1842" s="37" t="s">
        <v>1562</v>
      </c>
      <c r="P1842" s="46" t="s">
        <v>92</v>
      </c>
    </row>
    <row r="1843" spans="15:16" x14ac:dyDescent="0.2">
      <c r="O1843" s="38" t="s">
        <v>1216</v>
      </c>
      <c r="P1843" s="47" t="s">
        <v>92</v>
      </c>
    </row>
    <row r="1844" spans="15:16" x14ac:dyDescent="0.2">
      <c r="O1844" s="37" t="s">
        <v>406</v>
      </c>
      <c r="P1844" s="46" t="s">
        <v>92</v>
      </c>
    </row>
    <row r="1845" spans="15:16" x14ac:dyDescent="0.2">
      <c r="O1845" s="38" t="s">
        <v>503</v>
      </c>
      <c r="P1845" s="47" t="s">
        <v>92</v>
      </c>
    </row>
    <row r="1846" spans="15:16" x14ac:dyDescent="0.2">
      <c r="O1846" s="37" t="s">
        <v>1237</v>
      </c>
      <c r="P1846" s="46" t="s">
        <v>92</v>
      </c>
    </row>
    <row r="1847" spans="15:16" x14ac:dyDescent="0.2">
      <c r="O1847" s="38" t="s">
        <v>408</v>
      </c>
      <c r="P1847" s="47" t="s">
        <v>92</v>
      </c>
    </row>
    <row r="1848" spans="15:16" x14ac:dyDescent="0.2">
      <c r="O1848" s="37" t="s">
        <v>682</v>
      </c>
      <c r="P1848" s="46" t="s">
        <v>92</v>
      </c>
    </row>
    <row r="1849" spans="15:16" x14ac:dyDescent="0.2">
      <c r="O1849" s="38" t="s">
        <v>1563</v>
      </c>
      <c r="P1849" s="47" t="s">
        <v>92</v>
      </c>
    </row>
    <row r="1850" spans="15:16" x14ac:dyDescent="0.2">
      <c r="O1850" s="37" t="s">
        <v>413</v>
      </c>
      <c r="P1850" s="46" t="s">
        <v>92</v>
      </c>
    </row>
    <row r="1851" spans="15:16" x14ac:dyDescent="0.2">
      <c r="O1851" s="38" t="s">
        <v>556</v>
      </c>
      <c r="P1851" s="47" t="s">
        <v>92</v>
      </c>
    </row>
    <row r="1852" spans="15:16" x14ac:dyDescent="0.2">
      <c r="O1852" s="37" t="s">
        <v>848</v>
      </c>
      <c r="P1852" s="46" t="s">
        <v>92</v>
      </c>
    </row>
    <row r="1853" spans="15:16" x14ac:dyDescent="0.2">
      <c r="O1853" s="38" t="s">
        <v>886</v>
      </c>
      <c r="P1853" s="47" t="s">
        <v>92</v>
      </c>
    </row>
    <row r="1854" spans="15:16" x14ac:dyDescent="0.2">
      <c r="O1854" s="37" t="s">
        <v>421</v>
      </c>
      <c r="P1854" s="46" t="s">
        <v>92</v>
      </c>
    </row>
    <row r="1855" spans="15:16" x14ac:dyDescent="0.2">
      <c r="O1855" s="38" t="s">
        <v>426</v>
      </c>
      <c r="P1855" s="47" t="s">
        <v>92</v>
      </c>
    </row>
    <row r="1856" spans="15:16" x14ac:dyDescent="0.2">
      <c r="O1856" s="37" t="s">
        <v>427</v>
      </c>
      <c r="P1856" s="46" t="s">
        <v>92</v>
      </c>
    </row>
    <row r="1857" spans="15:16" x14ac:dyDescent="0.2">
      <c r="O1857" s="38" t="s">
        <v>695</v>
      </c>
      <c r="P1857" s="47" t="s">
        <v>92</v>
      </c>
    </row>
    <row r="1858" spans="15:16" x14ac:dyDescent="0.2">
      <c r="O1858" s="37" t="s">
        <v>1564</v>
      </c>
      <c r="P1858" s="46" t="s">
        <v>92</v>
      </c>
    </row>
    <row r="1859" spans="15:16" x14ac:dyDescent="0.2">
      <c r="O1859" s="38" t="s">
        <v>1565</v>
      </c>
      <c r="P1859" s="47" t="s">
        <v>92</v>
      </c>
    </row>
    <row r="1860" spans="15:16" x14ac:dyDescent="0.2">
      <c r="O1860" s="37" t="s">
        <v>851</v>
      </c>
      <c r="P1860" s="46" t="s">
        <v>92</v>
      </c>
    </row>
    <row r="1861" spans="15:16" x14ac:dyDescent="0.2">
      <c r="O1861" s="38" t="s">
        <v>1566</v>
      </c>
      <c r="P1861" s="47" t="s">
        <v>92</v>
      </c>
    </row>
    <row r="1862" spans="15:16" x14ac:dyDescent="0.2">
      <c r="O1862" s="37" t="s">
        <v>1567</v>
      </c>
      <c r="P1862" s="46" t="s">
        <v>92</v>
      </c>
    </row>
    <row r="1863" spans="15:16" x14ac:dyDescent="0.2">
      <c r="O1863" s="38" t="s">
        <v>569</v>
      </c>
      <c r="P1863" s="47" t="s">
        <v>92</v>
      </c>
    </row>
    <row r="1864" spans="15:16" x14ac:dyDescent="0.2">
      <c r="O1864" s="37" t="s">
        <v>1568</v>
      </c>
      <c r="P1864" s="46" t="s">
        <v>92</v>
      </c>
    </row>
    <row r="1865" spans="15:16" x14ac:dyDescent="0.2">
      <c r="O1865" s="38" t="s">
        <v>1569</v>
      </c>
      <c r="P1865" s="47" t="s">
        <v>92</v>
      </c>
    </row>
    <row r="1866" spans="15:16" x14ac:dyDescent="0.2">
      <c r="O1866" s="37" t="s">
        <v>1274</v>
      </c>
      <c r="P1866" s="46" t="s">
        <v>92</v>
      </c>
    </row>
    <row r="1867" spans="15:16" x14ac:dyDescent="0.2">
      <c r="O1867" s="38" t="s">
        <v>702</v>
      </c>
      <c r="P1867" s="47" t="s">
        <v>92</v>
      </c>
    </row>
    <row r="1868" spans="15:16" x14ac:dyDescent="0.2">
      <c r="O1868" s="37" t="s">
        <v>1570</v>
      </c>
      <c r="P1868" s="46" t="s">
        <v>92</v>
      </c>
    </row>
    <row r="1869" spans="15:16" x14ac:dyDescent="0.2">
      <c r="O1869" s="38" t="s">
        <v>1571</v>
      </c>
      <c r="P1869" s="47" t="s">
        <v>92</v>
      </c>
    </row>
    <row r="1870" spans="15:16" x14ac:dyDescent="0.2">
      <c r="O1870" s="37" t="s">
        <v>791</v>
      </c>
      <c r="P1870" s="46" t="s">
        <v>92</v>
      </c>
    </row>
    <row r="1871" spans="15:16" x14ac:dyDescent="0.2">
      <c r="O1871" s="38" t="s">
        <v>1572</v>
      </c>
      <c r="P1871" s="47" t="s">
        <v>92</v>
      </c>
    </row>
    <row r="1872" spans="15:16" x14ac:dyDescent="0.2">
      <c r="O1872" s="37" t="s">
        <v>1573</v>
      </c>
      <c r="P1872" s="46" t="s">
        <v>92</v>
      </c>
    </row>
    <row r="1873" spans="15:16" x14ac:dyDescent="0.2">
      <c r="O1873" s="38" t="s">
        <v>1574</v>
      </c>
      <c r="P1873" s="47" t="s">
        <v>92</v>
      </c>
    </row>
    <row r="1874" spans="15:16" x14ac:dyDescent="0.2">
      <c r="O1874" s="37" t="s">
        <v>1575</v>
      </c>
      <c r="P1874" s="46" t="s">
        <v>92</v>
      </c>
    </row>
    <row r="1875" spans="15:16" x14ac:dyDescent="0.2">
      <c r="O1875" s="38" t="s">
        <v>1576</v>
      </c>
      <c r="P1875" s="47" t="s">
        <v>92</v>
      </c>
    </row>
    <row r="1876" spans="15:16" x14ac:dyDescent="0.2">
      <c r="O1876" s="37" t="s">
        <v>902</v>
      </c>
      <c r="P1876" s="46" t="s">
        <v>92</v>
      </c>
    </row>
    <row r="1877" spans="15:16" x14ac:dyDescent="0.2">
      <c r="O1877" s="38" t="s">
        <v>1577</v>
      </c>
      <c r="P1877" s="47" t="s">
        <v>92</v>
      </c>
    </row>
    <row r="1878" spans="15:16" x14ac:dyDescent="0.2">
      <c r="O1878" s="37" t="s">
        <v>943</v>
      </c>
      <c r="P1878" s="46" t="s">
        <v>92</v>
      </c>
    </row>
    <row r="1879" spans="15:16" x14ac:dyDescent="0.2">
      <c r="O1879" s="38" t="s">
        <v>1221</v>
      </c>
      <c r="P1879" s="47" t="s">
        <v>92</v>
      </c>
    </row>
    <row r="1880" spans="15:16" x14ac:dyDescent="0.2">
      <c r="O1880" s="37" t="s">
        <v>944</v>
      </c>
      <c r="P1880" s="46" t="s">
        <v>92</v>
      </c>
    </row>
    <row r="1881" spans="15:16" x14ac:dyDescent="0.2">
      <c r="O1881" s="38" t="s">
        <v>1578</v>
      </c>
      <c r="P1881" s="47" t="s">
        <v>92</v>
      </c>
    </row>
    <row r="1882" spans="15:16" x14ac:dyDescent="0.2">
      <c r="O1882" s="37" t="s">
        <v>1579</v>
      </c>
      <c r="P1882" s="46" t="s">
        <v>92</v>
      </c>
    </row>
    <row r="1883" spans="15:16" x14ac:dyDescent="0.2">
      <c r="O1883" s="38" t="s">
        <v>1580</v>
      </c>
      <c r="P1883" s="47" t="s">
        <v>92</v>
      </c>
    </row>
    <row r="1884" spans="15:16" x14ac:dyDescent="0.2">
      <c r="O1884" s="37" t="s">
        <v>813</v>
      </c>
      <c r="P1884" s="46" t="s">
        <v>92</v>
      </c>
    </row>
    <row r="1885" spans="15:16" x14ac:dyDescent="0.2">
      <c r="O1885" s="38" t="s">
        <v>441</v>
      </c>
      <c r="P1885" s="47" t="s">
        <v>92</v>
      </c>
    </row>
    <row r="1886" spans="15:16" x14ac:dyDescent="0.2">
      <c r="O1886" s="37" t="s">
        <v>814</v>
      </c>
      <c r="P1886" s="46" t="s">
        <v>92</v>
      </c>
    </row>
    <row r="1887" spans="15:16" x14ac:dyDescent="0.2">
      <c r="O1887" s="38" t="s">
        <v>1581</v>
      </c>
      <c r="P1887" s="47" t="s">
        <v>92</v>
      </c>
    </row>
    <row r="1888" spans="15:16" x14ac:dyDescent="0.2">
      <c r="O1888" s="37" t="s">
        <v>1582</v>
      </c>
      <c r="P1888" s="46" t="s">
        <v>92</v>
      </c>
    </row>
    <row r="1889" spans="15:16" x14ac:dyDescent="0.2">
      <c r="O1889" s="38" t="s">
        <v>1583</v>
      </c>
      <c r="P1889" s="47" t="s">
        <v>92</v>
      </c>
    </row>
    <row r="1890" spans="15:16" x14ac:dyDescent="0.2">
      <c r="O1890" s="37" t="s">
        <v>1584</v>
      </c>
      <c r="P1890" s="46" t="s">
        <v>111</v>
      </c>
    </row>
    <row r="1891" spans="15:16" x14ac:dyDescent="0.2">
      <c r="O1891" s="38" t="s">
        <v>859</v>
      </c>
      <c r="P1891" s="47" t="s">
        <v>111</v>
      </c>
    </row>
    <row r="1892" spans="15:16" x14ac:dyDescent="0.2">
      <c r="O1892" s="37" t="s">
        <v>1585</v>
      </c>
      <c r="P1892" s="46" t="s">
        <v>111</v>
      </c>
    </row>
    <row r="1893" spans="15:16" x14ac:dyDescent="0.2">
      <c r="O1893" s="38" t="s">
        <v>1586</v>
      </c>
      <c r="P1893" s="47" t="s">
        <v>111</v>
      </c>
    </row>
    <row r="1894" spans="15:16" x14ac:dyDescent="0.2">
      <c r="O1894" s="37" t="s">
        <v>1587</v>
      </c>
      <c r="P1894" s="46" t="s">
        <v>111</v>
      </c>
    </row>
    <row r="1895" spans="15:16" x14ac:dyDescent="0.2">
      <c r="O1895" s="38" t="s">
        <v>1588</v>
      </c>
      <c r="P1895" s="47" t="s">
        <v>111</v>
      </c>
    </row>
    <row r="1896" spans="15:16" x14ac:dyDescent="0.2">
      <c r="O1896" s="37" t="s">
        <v>1589</v>
      </c>
      <c r="P1896" s="46" t="s">
        <v>111</v>
      </c>
    </row>
    <row r="1897" spans="15:16" x14ac:dyDescent="0.2">
      <c r="O1897" s="38" t="s">
        <v>1590</v>
      </c>
      <c r="P1897" s="47" t="s">
        <v>111</v>
      </c>
    </row>
    <row r="1898" spans="15:16" x14ac:dyDescent="0.2">
      <c r="O1898" s="37" t="s">
        <v>1591</v>
      </c>
      <c r="P1898" s="46" t="s">
        <v>111</v>
      </c>
    </row>
    <row r="1899" spans="15:16" x14ac:dyDescent="0.2">
      <c r="O1899" s="38" t="s">
        <v>1592</v>
      </c>
      <c r="P1899" s="47" t="s">
        <v>111</v>
      </c>
    </row>
    <row r="1900" spans="15:16" x14ac:dyDescent="0.2">
      <c r="O1900" s="37" t="s">
        <v>1593</v>
      </c>
      <c r="P1900" s="46" t="s">
        <v>111</v>
      </c>
    </row>
    <row r="1901" spans="15:16" x14ac:dyDescent="0.2">
      <c r="O1901" s="38" t="s">
        <v>726</v>
      </c>
      <c r="P1901" s="47" t="s">
        <v>111</v>
      </c>
    </row>
    <row r="1902" spans="15:16" x14ac:dyDescent="0.2">
      <c r="O1902" s="37" t="s">
        <v>1594</v>
      </c>
      <c r="P1902" s="46" t="s">
        <v>111</v>
      </c>
    </row>
    <row r="1903" spans="15:16" x14ac:dyDescent="0.2">
      <c r="O1903" s="38" t="s">
        <v>1076</v>
      </c>
      <c r="P1903" s="47" t="s">
        <v>111</v>
      </c>
    </row>
    <row r="1904" spans="15:16" x14ac:dyDescent="0.2">
      <c r="O1904" s="37" t="s">
        <v>728</v>
      </c>
      <c r="P1904" s="46" t="s">
        <v>111</v>
      </c>
    </row>
    <row r="1905" spans="15:16" x14ac:dyDescent="0.2">
      <c r="O1905" s="38" t="s">
        <v>1595</v>
      </c>
      <c r="P1905" s="47" t="s">
        <v>111</v>
      </c>
    </row>
    <row r="1906" spans="15:16" x14ac:dyDescent="0.2">
      <c r="O1906" s="37" t="s">
        <v>1596</v>
      </c>
      <c r="P1906" s="46" t="s">
        <v>111</v>
      </c>
    </row>
    <row r="1907" spans="15:16" x14ac:dyDescent="0.2">
      <c r="O1907" s="38" t="s">
        <v>1597</v>
      </c>
      <c r="P1907" s="47" t="s">
        <v>111</v>
      </c>
    </row>
    <row r="1908" spans="15:16" x14ac:dyDescent="0.2">
      <c r="O1908" s="37" t="s">
        <v>732</v>
      </c>
      <c r="P1908" s="46" t="s">
        <v>111</v>
      </c>
    </row>
    <row r="1909" spans="15:16" x14ac:dyDescent="0.2">
      <c r="O1909" s="38" t="s">
        <v>386</v>
      </c>
      <c r="P1909" s="47" t="s">
        <v>111</v>
      </c>
    </row>
    <row r="1910" spans="15:16" x14ac:dyDescent="0.2">
      <c r="O1910" s="37" t="s">
        <v>1598</v>
      </c>
      <c r="P1910" s="46" t="s">
        <v>111</v>
      </c>
    </row>
    <row r="1911" spans="15:16" x14ac:dyDescent="0.2">
      <c r="O1911" s="38" t="s">
        <v>390</v>
      </c>
      <c r="P1911" s="47" t="s">
        <v>111</v>
      </c>
    </row>
    <row r="1912" spans="15:16" x14ac:dyDescent="0.2">
      <c r="O1912" s="37" t="s">
        <v>493</v>
      </c>
      <c r="P1912" s="46" t="s">
        <v>111</v>
      </c>
    </row>
    <row r="1913" spans="15:16" x14ac:dyDescent="0.2">
      <c r="O1913" s="38" t="s">
        <v>1599</v>
      </c>
      <c r="P1913" s="47" t="s">
        <v>111</v>
      </c>
    </row>
    <row r="1914" spans="15:16" x14ac:dyDescent="0.2">
      <c r="O1914" s="37" t="s">
        <v>1600</v>
      </c>
      <c r="P1914" s="46" t="s">
        <v>111</v>
      </c>
    </row>
    <row r="1915" spans="15:16" x14ac:dyDescent="0.2">
      <c r="O1915" s="38" t="s">
        <v>868</v>
      </c>
      <c r="P1915" s="47" t="s">
        <v>111</v>
      </c>
    </row>
    <row r="1916" spans="15:16" x14ac:dyDescent="0.2">
      <c r="O1916" s="37" t="s">
        <v>1601</v>
      </c>
      <c r="P1916" s="46" t="s">
        <v>111</v>
      </c>
    </row>
    <row r="1917" spans="15:16" x14ac:dyDescent="0.2">
      <c r="O1917" s="38" t="s">
        <v>1602</v>
      </c>
      <c r="P1917" s="47" t="s">
        <v>111</v>
      </c>
    </row>
    <row r="1918" spans="15:16" x14ac:dyDescent="0.2">
      <c r="O1918" s="37" t="s">
        <v>1603</v>
      </c>
      <c r="P1918" s="46" t="s">
        <v>111</v>
      </c>
    </row>
    <row r="1919" spans="15:16" x14ac:dyDescent="0.2">
      <c r="O1919" s="38" t="s">
        <v>1604</v>
      </c>
      <c r="P1919" s="47" t="s">
        <v>111</v>
      </c>
    </row>
    <row r="1920" spans="15:16" x14ac:dyDescent="0.2">
      <c r="O1920" s="37" t="s">
        <v>1605</v>
      </c>
      <c r="P1920" s="46" t="s">
        <v>111</v>
      </c>
    </row>
    <row r="1921" spans="15:16" x14ac:dyDescent="0.2">
      <c r="O1921" s="38" t="s">
        <v>1606</v>
      </c>
      <c r="P1921" s="47" t="s">
        <v>111</v>
      </c>
    </row>
    <row r="1922" spans="15:16" x14ac:dyDescent="0.2">
      <c r="O1922" s="37" t="s">
        <v>1607</v>
      </c>
      <c r="P1922" s="46" t="s">
        <v>111</v>
      </c>
    </row>
    <row r="1923" spans="15:16" x14ac:dyDescent="0.2">
      <c r="O1923" s="38" t="s">
        <v>755</v>
      </c>
      <c r="P1923" s="47" t="s">
        <v>111</v>
      </c>
    </row>
    <row r="1924" spans="15:16" x14ac:dyDescent="0.2">
      <c r="O1924" s="37" t="s">
        <v>406</v>
      </c>
      <c r="P1924" s="46" t="s">
        <v>111</v>
      </c>
    </row>
    <row r="1925" spans="15:16" x14ac:dyDescent="0.2">
      <c r="O1925" s="38" t="s">
        <v>1608</v>
      </c>
      <c r="P1925" s="47" t="s">
        <v>111</v>
      </c>
    </row>
    <row r="1926" spans="15:16" x14ac:dyDescent="0.2">
      <c r="O1926" s="37" t="s">
        <v>1609</v>
      </c>
      <c r="P1926" s="46" t="s">
        <v>111</v>
      </c>
    </row>
    <row r="1927" spans="15:16" x14ac:dyDescent="0.2">
      <c r="O1927" s="38" t="s">
        <v>473</v>
      </c>
      <c r="P1927" s="47" t="s">
        <v>111</v>
      </c>
    </row>
    <row r="1928" spans="15:16" x14ac:dyDescent="0.2">
      <c r="O1928" s="37" t="s">
        <v>1610</v>
      </c>
      <c r="P1928" s="46" t="s">
        <v>111</v>
      </c>
    </row>
    <row r="1929" spans="15:16" x14ac:dyDescent="0.2">
      <c r="O1929" s="38" t="s">
        <v>408</v>
      </c>
      <c r="P1929" s="47" t="s">
        <v>111</v>
      </c>
    </row>
    <row r="1930" spans="15:16" x14ac:dyDescent="0.2">
      <c r="O1930" s="37" t="s">
        <v>1611</v>
      </c>
      <c r="P1930" s="46" t="s">
        <v>111</v>
      </c>
    </row>
    <row r="1931" spans="15:16" x14ac:dyDescent="0.2">
      <c r="O1931" s="38" t="s">
        <v>1612</v>
      </c>
      <c r="P1931" s="47" t="s">
        <v>111</v>
      </c>
    </row>
    <row r="1932" spans="15:16" x14ac:dyDescent="0.2">
      <c r="O1932" s="37" t="s">
        <v>1613</v>
      </c>
      <c r="P1932" s="46" t="s">
        <v>111</v>
      </c>
    </row>
    <row r="1933" spans="15:16" x14ac:dyDescent="0.2">
      <c r="O1933" s="38" t="s">
        <v>1614</v>
      </c>
      <c r="P1933" s="47" t="s">
        <v>111</v>
      </c>
    </row>
    <row r="1934" spans="15:16" x14ac:dyDescent="0.2">
      <c r="O1934" s="37" t="s">
        <v>877</v>
      </c>
      <c r="P1934" s="46" t="s">
        <v>111</v>
      </c>
    </row>
    <row r="1935" spans="15:16" x14ac:dyDescent="0.2">
      <c r="O1935" s="38" t="s">
        <v>1615</v>
      </c>
      <c r="P1935" s="47" t="s">
        <v>111</v>
      </c>
    </row>
    <row r="1936" spans="15:16" x14ac:dyDescent="0.2">
      <c r="O1936" s="37" t="s">
        <v>1616</v>
      </c>
      <c r="P1936" s="46" t="s">
        <v>111</v>
      </c>
    </row>
    <row r="1937" spans="15:16" x14ac:dyDescent="0.2">
      <c r="O1937" s="38" t="s">
        <v>1617</v>
      </c>
      <c r="P1937" s="47" t="s">
        <v>111</v>
      </c>
    </row>
    <row r="1938" spans="15:16" x14ac:dyDescent="0.2">
      <c r="O1938" s="37" t="s">
        <v>1618</v>
      </c>
      <c r="P1938" s="46" t="s">
        <v>111</v>
      </c>
    </row>
    <row r="1939" spans="15:16" x14ac:dyDescent="0.2">
      <c r="O1939" s="38" t="s">
        <v>412</v>
      </c>
      <c r="P1939" s="47" t="s">
        <v>111</v>
      </c>
    </row>
    <row r="1940" spans="15:16" x14ac:dyDescent="0.2">
      <c r="O1940" s="37" t="s">
        <v>1619</v>
      </c>
      <c r="P1940" s="46" t="s">
        <v>111</v>
      </c>
    </row>
    <row r="1941" spans="15:16" x14ac:dyDescent="0.2">
      <c r="O1941" s="38" t="s">
        <v>773</v>
      </c>
      <c r="P1941" s="47" t="s">
        <v>111</v>
      </c>
    </row>
    <row r="1942" spans="15:16" x14ac:dyDescent="0.2">
      <c r="O1942" s="37" t="s">
        <v>417</v>
      </c>
      <c r="P1942" s="46" t="s">
        <v>111</v>
      </c>
    </row>
    <row r="1943" spans="15:16" x14ac:dyDescent="0.2">
      <c r="O1943" s="38" t="s">
        <v>1620</v>
      </c>
      <c r="P1943" s="47" t="s">
        <v>111</v>
      </c>
    </row>
    <row r="1944" spans="15:16" x14ac:dyDescent="0.2">
      <c r="O1944" s="37" t="s">
        <v>513</v>
      </c>
      <c r="P1944" s="46" t="s">
        <v>111</v>
      </c>
    </row>
    <row r="1945" spans="15:16" x14ac:dyDescent="0.2">
      <c r="O1945" s="38" t="s">
        <v>1621</v>
      </c>
      <c r="P1945" s="47" t="s">
        <v>111</v>
      </c>
    </row>
    <row r="1946" spans="15:16" x14ac:dyDescent="0.2">
      <c r="O1946" s="37" t="s">
        <v>420</v>
      </c>
      <c r="P1946" s="46" t="s">
        <v>111</v>
      </c>
    </row>
    <row r="1947" spans="15:16" x14ac:dyDescent="0.2">
      <c r="O1947" s="38" t="s">
        <v>421</v>
      </c>
      <c r="P1947" s="47" t="s">
        <v>111</v>
      </c>
    </row>
    <row r="1948" spans="15:16" x14ac:dyDescent="0.2">
      <c r="O1948" s="37" t="s">
        <v>694</v>
      </c>
      <c r="P1948" s="46" t="s">
        <v>111</v>
      </c>
    </row>
    <row r="1949" spans="15:16" x14ac:dyDescent="0.2">
      <c r="O1949" s="38" t="s">
        <v>1622</v>
      </c>
      <c r="P1949" s="47" t="s">
        <v>111</v>
      </c>
    </row>
    <row r="1950" spans="15:16" x14ac:dyDescent="0.2">
      <c r="O1950" s="37" t="s">
        <v>781</v>
      </c>
      <c r="P1950" s="46" t="s">
        <v>111</v>
      </c>
    </row>
    <row r="1951" spans="15:16" x14ac:dyDescent="0.2">
      <c r="O1951" s="38" t="s">
        <v>427</v>
      </c>
      <c r="P1951" s="47" t="s">
        <v>111</v>
      </c>
    </row>
    <row r="1952" spans="15:16" x14ac:dyDescent="0.2">
      <c r="O1952" s="37" t="s">
        <v>1623</v>
      </c>
      <c r="P1952" s="46" t="s">
        <v>111</v>
      </c>
    </row>
    <row r="1953" spans="15:16" x14ac:dyDescent="0.2">
      <c r="O1953" s="38" t="s">
        <v>1624</v>
      </c>
      <c r="P1953" s="47" t="s">
        <v>111</v>
      </c>
    </row>
    <row r="1954" spans="15:16" x14ac:dyDescent="0.2">
      <c r="O1954" s="37" t="s">
        <v>1625</v>
      </c>
      <c r="P1954" s="46" t="s">
        <v>111</v>
      </c>
    </row>
    <row r="1955" spans="15:16" x14ac:dyDescent="0.2">
      <c r="O1955" s="38" t="s">
        <v>1626</v>
      </c>
      <c r="P1955" s="47" t="s">
        <v>111</v>
      </c>
    </row>
    <row r="1956" spans="15:16" x14ac:dyDescent="0.2">
      <c r="O1956" s="37" t="s">
        <v>1627</v>
      </c>
      <c r="P1956" s="46" t="s">
        <v>111</v>
      </c>
    </row>
    <row r="1957" spans="15:16" x14ac:dyDescent="0.2">
      <c r="O1957" s="38" t="s">
        <v>569</v>
      </c>
      <c r="P1957" s="47" t="s">
        <v>111</v>
      </c>
    </row>
    <row r="1958" spans="15:16" x14ac:dyDescent="0.2">
      <c r="O1958" s="37" t="s">
        <v>1628</v>
      </c>
      <c r="P1958" s="46" t="s">
        <v>111</v>
      </c>
    </row>
    <row r="1959" spans="15:16" x14ac:dyDescent="0.2">
      <c r="O1959" s="38" t="s">
        <v>1629</v>
      </c>
      <c r="P1959" s="47" t="s">
        <v>111</v>
      </c>
    </row>
    <row r="1960" spans="15:16" x14ac:dyDescent="0.2">
      <c r="O1960" s="37" t="s">
        <v>1630</v>
      </c>
      <c r="P1960" s="46" t="s">
        <v>111</v>
      </c>
    </row>
    <row r="1961" spans="15:16" x14ac:dyDescent="0.2">
      <c r="O1961" s="38" t="s">
        <v>1631</v>
      </c>
      <c r="P1961" s="47" t="s">
        <v>111</v>
      </c>
    </row>
    <row r="1962" spans="15:16" x14ac:dyDescent="0.2">
      <c r="O1962" s="37" t="s">
        <v>1632</v>
      </c>
      <c r="P1962" s="46" t="s">
        <v>111</v>
      </c>
    </row>
    <row r="1963" spans="15:16" x14ac:dyDescent="0.2">
      <c r="O1963" s="38" t="s">
        <v>1633</v>
      </c>
      <c r="P1963" s="47" t="s">
        <v>111</v>
      </c>
    </row>
    <row r="1964" spans="15:16" x14ac:dyDescent="0.2">
      <c r="O1964" s="37" t="s">
        <v>524</v>
      </c>
      <c r="P1964" s="46" t="s">
        <v>111</v>
      </c>
    </row>
    <row r="1965" spans="15:16" x14ac:dyDescent="0.2">
      <c r="O1965" s="38" t="s">
        <v>432</v>
      </c>
      <c r="P1965" s="47" t="s">
        <v>111</v>
      </c>
    </row>
    <row r="1966" spans="15:16" x14ac:dyDescent="0.2">
      <c r="O1966" s="37" t="s">
        <v>791</v>
      </c>
      <c r="P1966" s="46" t="s">
        <v>111</v>
      </c>
    </row>
    <row r="1967" spans="15:16" x14ac:dyDescent="0.2">
      <c r="O1967" s="38" t="s">
        <v>1634</v>
      </c>
      <c r="P1967" s="47" t="s">
        <v>111</v>
      </c>
    </row>
    <row r="1968" spans="15:16" x14ac:dyDescent="0.2">
      <c r="O1968" s="37" t="s">
        <v>1516</v>
      </c>
      <c r="P1968" s="46" t="s">
        <v>111</v>
      </c>
    </row>
    <row r="1969" spans="15:16" x14ac:dyDescent="0.2">
      <c r="O1969" s="38" t="s">
        <v>1115</v>
      </c>
      <c r="P1969" s="47" t="s">
        <v>111</v>
      </c>
    </row>
    <row r="1970" spans="15:16" x14ac:dyDescent="0.2">
      <c r="O1970" s="37" t="s">
        <v>1635</v>
      </c>
      <c r="P1970" s="46" t="s">
        <v>111</v>
      </c>
    </row>
    <row r="1971" spans="15:16" x14ac:dyDescent="0.2">
      <c r="O1971" s="38" t="s">
        <v>1636</v>
      </c>
      <c r="P1971" s="47" t="s">
        <v>111</v>
      </c>
    </row>
    <row r="1972" spans="15:16" x14ac:dyDescent="0.2">
      <c r="O1972" s="37" t="s">
        <v>1416</v>
      </c>
      <c r="P1972" s="46" t="s">
        <v>111</v>
      </c>
    </row>
    <row r="1973" spans="15:16" x14ac:dyDescent="0.2">
      <c r="O1973" s="38" t="s">
        <v>1637</v>
      </c>
      <c r="P1973" s="47" t="s">
        <v>111</v>
      </c>
    </row>
    <row r="1974" spans="15:16" x14ac:dyDescent="0.2">
      <c r="O1974" s="37" t="s">
        <v>1638</v>
      </c>
      <c r="P1974" s="46" t="s">
        <v>111</v>
      </c>
    </row>
    <row r="1975" spans="15:16" x14ac:dyDescent="0.2">
      <c r="O1975" s="38" t="s">
        <v>1639</v>
      </c>
      <c r="P1975" s="47" t="s">
        <v>111</v>
      </c>
    </row>
    <row r="1976" spans="15:16" x14ac:dyDescent="0.2">
      <c r="O1976" s="37" t="s">
        <v>1640</v>
      </c>
      <c r="P1976" s="46" t="s">
        <v>111</v>
      </c>
    </row>
    <row r="1977" spans="15:16" x14ac:dyDescent="0.2">
      <c r="O1977" s="38" t="s">
        <v>1641</v>
      </c>
      <c r="P1977" s="47" t="s">
        <v>111</v>
      </c>
    </row>
    <row r="1978" spans="15:16" x14ac:dyDescent="0.2">
      <c r="O1978" s="37" t="s">
        <v>1642</v>
      </c>
      <c r="P1978" s="46" t="s">
        <v>111</v>
      </c>
    </row>
    <row r="1979" spans="15:16" x14ac:dyDescent="0.2">
      <c r="O1979" s="38" t="s">
        <v>536</v>
      </c>
      <c r="P1979" s="47" t="s">
        <v>111</v>
      </c>
    </row>
    <row r="1980" spans="15:16" x14ac:dyDescent="0.2">
      <c r="O1980" s="37" t="s">
        <v>1643</v>
      </c>
      <c r="P1980" s="46" t="s">
        <v>111</v>
      </c>
    </row>
    <row r="1981" spans="15:16" x14ac:dyDescent="0.2">
      <c r="O1981" s="38" t="s">
        <v>1644</v>
      </c>
      <c r="P1981" s="47" t="s">
        <v>111</v>
      </c>
    </row>
    <row r="1982" spans="15:16" x14ac:dyDescent="0.2">
      <c r="O1982" s="37" t="s">
        <v>813</v>
      </c>
      <c r="P1982" s="46" t="s">
        <v>111</v>
      </c>
    </row>
    <row r="1983" spans="15:16" x14ac:dyDescent="0.2">
      <c r="O1983" s="38" t="s">
        <v>441</v>
      </c>
      <c r="P1983" s="47" t="s">
        <v>111</v>
      </c>
    </row>
    <row r="1984" spans="15:16" x14ac:dyDescent="0.2">
      <c r="O1984" s="37" t="s">
        <v>1645</v>
      </c>
      <c r="P1984" s="46" t="s">
        <v>111</v>
      </c>
    </row>
    <row r="1985" spans="15:16" x14ac:dyDescent="0.2">
      <c r="O1985" s="38" t="s">
        <v>814</v>
      </c>
      <c r="P1985" s="47" t="s">
        <v>111</v>
      </c>
    </row>
    <row r="1986" spans="15:16" x14ac:dyDescent="0.2">
      <c r="O1986" s="37" t="s">
        <v>818</v>
      </c>
      <c r="P1986" s="46" t="s">
        <v>111</v>
      </c>
    </row>
    <row r="1987" spans="15:16" x14ac:dyDescent="0.2">
      <c r="O1987" s="38" t="s">
        <v>1063</v>
      </c>
      <c r="P1987" s="47" t="s">
        <v>111</v>
      </c>
    </row>
    <row r="1988" spans="15:16" x14ac:dyDescent="0.2">
      <c r="O1988" s="37" t="s">
        <v>1646</v>
      </c>
      <c r="P1988" s="46" t="s">
        <v>111</v>
      </c>
    </row>
    <row r="1989" spans="15:16" x14ac:dyDescent="0.2">
      <c r="O1989" s="38" t="s">
        <v>1647</v>
      </c>
      <c r="P1989" s="47" t="s">
        <v>111</v>
      </c>
    </row>
    <row r="1990" spans="15:16" x14ac:dyDescent="0.2">
      <c r="O1990" s="37" t="s">
        <v>597</v>
      </c>
      <c r="P1990" s="46" t="s">
        <v>110</v>
      </c>
    </row>
    <row r="1991" spans="15:16" x14ac:dyDescent="0.2">
      <c r="O1991" s="38" t="s">
        <v>1648</v>
      </c>
      <c r="P1991" s="47" t="s">
        <v>110</v>
      </c>
    </row>
    <row r="1992" spans="15:16" x14ac:dyDescent="0.2">
      <c r="O1992" s="37" t="s">
        <v>1649</v>
      </c>
      <c r="P1992" s="46" t="s">
        <v>110</v>
      </c>
    </row>
    <row r="1993" spans="15:16" x14ac:dyDescent="0.2">
      <c r="O1993" s="38" t="s">
        <v>1650</v>
      </c>
      <c r="P1993" s="47" t="s">
        <v>110</v>
      </c>
    </row>
    <row r="1994" spans="15:16" x14ac:dyDescent="0.2">
      <c r="O1994" s="37" t="s">
        <v>1651</v>
      </c>
      <c r="P1994" s="46" t="s">
        <v>110</v>
      </c>
    </row>
    <row r="1995" spans="15:16" x14ac:dyDescent="0.2">
      <c r="O1995" s="38" t="s">
        <v>1652</v>
      </c>
      <c r="P1995" s="47" t="s">
        <v>110</v>
      </c>
    </row>
    <row r="1996" spans="15:16" x14ac:dyDescent="0.2">
      <c r="O1996" s="37" t="s">
        <v>726</v>
      </c>
      <c r="P1996" s="46" t="s">
        <v>110</v>
      </c>
    </row>
    <row r="1997" spans="15:16" x14ac:dyDescent="0.2">
      <c r="O1997" s="38" t="s">
        <v>1653</v>
      </c>
      <c r="P1997" s="47" t="s">
        <v>110</v>
      </c>
    </row>
    <row r="1998" spans="15:16" x14ac:dyDescent="0.2">
      <c r="O1998" s="37" t="s">
        <v>863</v>
      </c>
      <c r="P1998" s="46" t="s">
        <v>110</v>
      </c>
    </row>
    <row r="1999" spans="15:16" x14ac:dyDescent="0.2">
      <c r="O1999" s="38" t="s">
        <v>1654</v>
      </c>
      <c r="P1999" s="47" t="s">
        <v>110</v>
      </c>
    </row>
    <row r="2000" spans="15:16" x14ac:dyDescent="0.2">
      <c r="O2000" s="37" t="s">
        <v>1655</v>
      </c>
      <c r="P2000" s="46" t="s">
        <v>110</v>
      </c>
    </row>
    <row r="2001" spans="15:16" x14ac:dyDescent="0.2">
      <c r="O2001" s="38" t="s">
        <v>1656</v>
      </c>
      <c r="P2001" s="47" t="s">
        <v>110</v>
      </c>
    </row>
    <row r="2002" spans="15:16" x14ac:dyDescent="0.2">
      <c r="O2002" s="37" t="s">
        <v>1657</v>
      </c>
      <c r="P2002" s="46" t="s">
        <v>110</v>
      </c>
    </row>
    <row r="2003" spans="15:16" x14ac:dyDescent="0.2">
      <c r="O2003" s="38" t="s">
        <v>1536</v>
      </c>
      <c r="P2003" s="47" t="s">
        <v>110</v>
      </c>
    </row>
    <row r="2004" spans="15:16" x14ac:dyDescent="0.2">
      <c r="O2004" s="37" t="s">
        <v>1658</v>
      </c>
      <c r="P2004" s="46" t="s">
        <v>110</v>
      </c>
    </row>
    <row r="2005" spans="15:16" x14ac:dyDescent="0.2">
      <c r="O2005" s="38" t="s">
        <v>1659</v>
      </c>
      <c r="P2005" s="47" t="s">
        <v>110</v>
      </c>
    </row>
    <row r="2006" spans="15:16" x14ac:dyDescent="0.2">
      <c r="O2006" s="37" t="s">
        <v>1435</v>
      </c>
      <c r="P2006" s="46" t="s">
        <v>110</v>
      </c>
    </row>
    <row r="2007" spans="15:16" x14ac:dyDescent="0.2">
      <c r="O2007" s="38" t="s">
        <v>1660</v>
      </c>
      <c r="P2007" s="47" t="s">
        <v>110</v>
      </c>
    </row>
    <row r="2008" spans="15:16" x14ac:dyDescent="0.2">
      <c r="O2008" s="37" t="s">
        <v>505</v>
      </c>
      <c r="P2008" s="46" t="s">
        <v>110</v>
      </c>
    </row>
    <row r="2009" spans="15:16" x14ac:dyDescent="0.2">
      <c r="O2009" s="38" t="s">
        <v>1661</v>
      </c>
      <c r="P2009" s="47" t="s">
        <v>110</v>
      </c>
    </row>
    <row r="2010" spans="15:16" x14ac:dyDescent="0.2">
      <c r="O2010" s="37" t="s">
        <v>1662</v>
      </c>
      <c r="P2010" s="46" t="s">
        <v>110</v>
      </c>
    </row>
    <row r="2011" spans="15:16" x14ac:dyDescent="0.2">
      <c r="O2011" s="38" t="s">
        <v>1663</v>
      </c>
      <c r="P2011" s="47" t="s">
        <v>110</v>
      </c>
    </row>
    <row r="2012" spans="15:16" x14ac:dyDescent="0.2">
      <c r="O2012" s="37" t="s">
        <v>1664</v>
      </c>
      <c r="P2012" s="46" t="s">
        <v>110</v>
      </c>
    </row>
    <row r="2013" spans="15:16" x14ac:dyDescent="0.2">
      <c r="O2013" s="38" t="s">
        <v>515</v>
      </c>
      <c r="P2013" s="47" t="s">
        <v>110</v>
      </c>
    </row>
    <row r="2014" spans="15:16" x14ac:dyDescent="0.2">
      <c r="O2014" s="37" t="s">
        <v>888</v>
      </c>
      <c r="P2014" s="46" t="s">
        <v>110</v>
      </c>
    </row>
    <row r="2015" spans="15:16" x14ac:dyDescent="0.2">
      <c r="O2015" s="38" t="s">
        <v>779</v>
      </c>
      <c r="P2015" s="47" t="s">
        <v>110</v>
      </c>
    </row>
    <row r="2016" spans="15:16" x14ac:dyDescent="0.2">
      <c r="O2016" s="37" t="s">
        <v>1665</v>
      </c>
      <c r="P2016" s="46" t="s">
        <v>110</v>
      </c>
    </row>
    <row r="2017" spans="15:16" x14ac:dyDescent="0.2">
      <c r="O2017" s="38" t="s">
        <v>889</v>
      </c>
      <c r="P2017" s="47" t="s">
        <v>110</v>
      </c>
    </row>
    <row r="2018" spans="15:16" x14ac:dyDescent="0.2">
      <c r="O2018" s="37" t="s">
        <v>894</v>
      </c>
      <c r="P2018" s="46" t="s">
        <v>110</v>
      </c>
    </row>
    <row r="2019" spans="15:16" x14ac:dyDescent="0.2">
      <c r="O2019" s="38" t="s">
        <v>1033</v>
      </c>
      <c r="P2019" s="47" t="s">
        <v>110</v>
      </c>
    </row>
    <row r="2020" spans="15:16" x14ac:dyDescent="0.2">
      <c r="O2020" s="37" t="s">
        <v>1666</v>
      </c>
      <c r="P2020" s="46" t="s">
        <v>110</v>
      </c>
    </row>
    <row r="2021" spans="15:16" x14ac:dyDescent="0.2">
      <c r="O2021" s="38" t="s">
        <v>1107</v>
      </c>
      <c r="P2021" s="47" t="s">
        <v>110</v>
      </c>
    </row>
    <row r="2022" spans="15:16" x14ac:dyDescent="0.2">
      <c r="O2022" s="37" t="s">
        <v>1667</v>
      </c>
      <c r="P2022" s="46" t="s">
        <v>110</v>
      </c>
    </row>
    <row r="2023" spans="15:16" x14ac:dyDescent="0.2">
      <c r="O2023" s="38" t="s">
        <v>1668</v>
      </c>
      <c r="P2023" s="47" t="s">
        <v>110</v>
      </c>
    </row>
    <row r="2024" spans="15:16" x14ac:dyDescent="0.2">
      <c r="O2024" s="37" t="s">
        <v>788</v>
      </c>
      <c r="P2024" s="46" t="s">
        <v>110</v>
      </c>
    </row>
    <row r="2025" spans="15:16" x14ac:dyDescent="0.2">
      <c r="O2025" s="38" t="s">
        <v>1325</v>
      </c>
      <c r="P2025" s="47" t="s">
        <v>110</v>
      </c>
    </row>
    <row r="2026" spans="15:16" x14ac:dyDescent="0.2">
      <c r="O2026" s="37" t="s">
        <v>1669</v>
      </c>
      <c r="P2026" s="46" t="s">
        <v>110</v>
      </c>
    </row>
    <row r="2027" spans="15:16" x14ac:dyDescent="0.2">
      <c r="O2027" s="38" t="s">
        <v>1328</v>
      </c>
      <c r="P2027" s="47" t="s">
        <v>110</v>
      </c>
    </row>
    <row r="2028" spans="15:16" x14ac:dyDescent="0.2">
      <c r="O2028" s="37" t="s">
        <v>899</v>
      </c>
      <c r="P2028" s="46" t="s">
        <v>110</v>
      </c>
    </row>
    <row r="2029" spans="15:16" x14ac:dyDescent="0.2">
      <c r="O2029" s="38" t="s">
        <v>1670</v>
      </c>
      <c r="P2029" s="47" t="s">
        <v>110</v>
      </c>
    </row>
    <row r="2030" spans="15:16" x14ac:dyDescent="0.2">
      <c r="O2030" s="37" t="s">
        <v>1671</v>
      </c>
      <c r="P2030" s="46" t="s">
        <v>110</v>
      </c>
    </row>
    <row r="2031" spans="15:16" x14ac:dyDescent="0.2">
      <c r="O2031" s="38" t="s">
        <v>1052</v>
      </c>
      <c r="P2031" s="47" t="s">
        <v>110</v>
      </c>
    </row>
    <row r="2032" spans="15:16" x14ac:dyDescent="0.2">
      <c r="O2032" s="37" t="s">
        <v>992</v>
      </c>
      <c r="P2032" s="46" t="s">
        <v>110</v>
      </c>
    </row>
    <row r="2033" spans="15:16" x14ac:dyDescent="0.2">
      <c r="O2033" s="38" t="s">
        <v>1672</v>
      </c>
      <c r="P2033" s="47" t="s">
        <v>110</v>
      </c>
    </row>
    <row r="2034" spans="15:16" x14ac:dyDescent="0.2">
      <c r="O2034" s="37" t="s">
        <v>903</v>
      </c>
      <c r="P2034" s="46" t="s">
        <v>110</v>
      </c>
    </row>
    <row r="2035" spans="15:16" x14ac:dyDescent="0.2">
      <c r="O2035" s="38" t="s">
        <v>1335</v>
      </c>
      <c r="P2035" s="47" t="s">
        <v>110</v>
      </c>
    </row>
    <row r="2036" spans="15:16" x14ac:dyDescent="0.2">
      <c r="O2036" s="37" t="s">
        <v>1673</v>
      </c>
      <c r="P2036" s="46" t="s">
        <v>110</v>
      </c>
    </row>
    <row r="2037" spans="15:16" x14ac:dyDescent="0.2">
      <c r="O2037" s="38" t="s">
        <v>1674</v>
      </c>
      <c r="P2037" s="47" t="s">
        <v>110</v>
      </c>
    </row>
    <row r="2038" spans="15:16" x14ac:dyDescent="0.2">
      <c r="O2038" s="37" t="s">
        <v>1675</v>
      </c>
      <c r="P2038" s="46" t="s">
        <v>110</v>
      </c>
    </row>
    <row r="2039" spans="15:16" x14ac:dyDescent="0.2">
      <c r="O2039" s="38" t="s">
        <v>1676</v>
      </c>
      <c r="P2039" s="47" t="s">
        <v>110</v>
      </c>
    </row>
    <row r="2040" spans="15:16" x14ac:dyDescent="0.2">
      <c r="O2040" s="37" t="s">
        <v>1677</v>
      </c>
      <c r="P2040" s="46" t="s">
        <v>110</v>
      </c>
    </row>
    <row r="2041" spans="15:16" x14ac:dyDescent="0.2">
      <c r="O2041" s="38" t="s">
        <v>952</v>
      </c>
      <c r="P2041" s="47" t="s">
        <v>110</v>
      </c>
    </row>
    <row r="2042" spans="15:16" x14ac:dyDescent="0.2">
      <c r="O2042" s="37" t="s">
        <v>1678</v>
      </c>
      <c r="P2042" s="46" t="s">
        <v>110</v>
      </c>
    </row>
    <row r="2043" spans="15:16" x14ac:dyDescent="0.2">
      <c r="O2043" s="38" t="s">
        <v>597</v>
      </c>
      <c r="P2043" s="47" t="s">
        <v>109</v>
      </c>
    </row>
    <row r="2044" spans="15:16" x14ac:dyDescent="0.2">
      <c r="O2044" s="37" t="s">
        <v>913</v>
      </c>
      <c r="P2044" s="46" t="s">
        <v>109</v>
      </c>
    </row>
    <row r="2045" spans="15:16" x14ac:dyDescent="0.2">
      <c r="O2045" s="38" t="s">
        <v>1679</v>
      </c>
      <c r="P2045" s="47" t="s">
        <v>109</v>
      </c>
    </row>
    <row r="2046" spans="15:16" x14ac:dyDescent="0.2">
      <c r="O2046" s="37" t="s">
        <v>1680</v>
      </c>
      <c r="P2046" s="46" t="s">
        <v>109</v>
      </c>
    </row>
    <row r="2047" spans="15:16" x14ac:dyDescent="0.2">
      <c r="O2047" s="38" t="s">
        <v>1681</v>
      </c>
      <c r="P2047" s="47" t="s">
        <v>109</v>
      </c>
    </row>
    <row r="2048" spans="15:16" x14ac:dyDescent="0.2">
      <c r="O2048" s="37" t="s">
        <v>1682</v>
      </c>
      <c r="P2048" s="46" t="s">
        <v>109</v>
      </c>
    </row>
    <row r="2049" spans="15:16" x14ac:dyDescent="0.2">
      <c r="O2049" s="38" t="s">
        <v>1683</v>
      </c>
      <c r="P2049" s="47" t="s">
        <v>109</v>
      </c>
    </row>
    <row r="2050" spans="15:16" x14ac:dyDescent="0.2">
      <c r="O2050" s="37" t="s">
        <v>861</v>
      </c>
      <c r="P2050" s="46" t="s">
        <v>109</v>
      </c>
    </row>
    <row r="2051" spans="15:16" x14ac:dyDescent="0.2">
      <c r="O2051" s="38" t="s">
        <v>383</v>
      </c>
      <c r="P2051" s="47" t="s">
        <v>109</v>
      </c>
    </row>
    <row r="2052" spans="15:16" x14ac:dyDescent="0.2">
      <c r="O2052" s="37" t="s">
        <v>490</v>
      </c>
      <c r="P2052" s="46" t="s">
        <v>109</v>
      </c>
    </row>
    <row r="2053" spans="15:16" x14ac:dyDescent="0.2">
      <c r="O2053" s="38" t="s">
        <v>864</v>
      </c>
      <c r="P2053" s="47" t="s">
        <v>109</v>
      </c>
    </row>
    <row r="2054" spans="15:16" x14ac:dyDescent="0.2">
      <c r="O2054" s="37" t="s">
        <v>492</v>
      </c>
      <c r="P2054" s="46" t="s">
        <v>109</v>
      </c>
    </row>
    <row r="2055" spans="15:16" x14ac:dyDescent="0.2">
      <c r="O2055" s="38" t="s">
        <v>1684</v>
      </c>
      <c r="P2055" s="47" t="s">
        <v>109</v>
      </c>
    </row>
    <row r="2056" spans="15:16" x14ac:dyDescent="0.2">
      <c r="O2056" s="37" t="s">
        <v>866</v>
      </c>
      <c r="P2056" s="46" t="s">
        <v>109</v>
      </c>
    </row>
    <row r="2057" spans="15:16" x14ac:dyDescent="0.2">
      <c r="O2057" s="38" t="s">
        <v>1685</v>
      </c>
      <c r="P2057" s="47" t="s">
        <v>109</v>
      </c>
    </row>
    <row r="2058" spans="15:16" x14ac:dyDescent="0.2">
      <c r="O2058" s="37" t="s">
        <v>1686</v>
      </c>
      <c r="P2058" s="46" t="s">
        <v>109</v>
      </c>
    </row>
    <row r="2059" spans="15:16" x14ac:dyDescent="0.2">
      <c r="O2059" s="38" t="s">
        <v>497</v>
      </c>
      <c r="P2059" s="47" t="s">
        <v>109</v>
      </c>
    </row>
    <row r="2060" spans="15:16" x14ac:dyDescent="0.2">
      <c r="O2060" s="37" t="s">
        <v>1687</v>
      </c>
      <c r="P2060" s="46" t="s">
        <v>109</v>
      </c>
    </row>
    <row r="2061" spans="15:16" x14ac:dyDescent="0.2">
      <c r="O2061" s="38" t="s">
        <v>1688</v>
      </c>
      <c r="P2061" s="47" t="s">
        <v>109</v>
      </c>
    </row>
    <row r="2062" spans="15:16" x14ac:dyDescent="0.2">
      <c r="O2062" s="37" t="s">
        <v>1689</v>
      </c>
      <c r="P2062" s="46" t="s">
        <v>109</v>
      </c>
    </row>
    <row r="2063" spans="15:16" x14ac:dyDescent="0.2">
      <c r="O2063" s="38" t="s">
        <v>918</v>
      </c>
      <c r="P2063" s="47" t="s">
        <v>109</v>
      </c>
    </row>
    <row r="2064" spans="15:16" x14ac:dyDescent="0.2">
      <c r="O2064" s="37" t="s">
        <v>1562</v>
      </c>
      <c r="P2064" s="46" t="s">
        <v>109</v>
      </c>
    </row>
    <row r="2065" spans="15:16" x14ac:dyDescent="0.2">
      <c r="O2065" s="38" t="s">
        <v>651</v>
      </c>
      <c r="P2065" s="47" t="s">
        <v>109</v>
      </c>
    </row>
    <row r="2066" spans="15:16" x14ac:dyDescent="0.2">
      <c r="O2066" s="37" t="s">
        <v>405</v>
      </c>
      <c r="P2066" s="46" t="s">
        <v>109</v>
      </c>
    </row>
    <row r="2067" spans="15:16" x14ac:dyDescent="0.2">
      <c r="O2067" s="38" t="s">
        <v>406</v>
      </c>
      <c r="P2067" s="47" t="s">
        <v>109</v>
      </c>
    </row>
    <row r="2068" spans="15:16" x14ac:dyDescent="0.2">
      <c r="O2068" s="37" t="s">
        <v>503</v>
      </c>
      <c r="P2068" s="46" t="s">
        <v>109</v>
      </c>
    </row>
    <row r="2069" spans="15:16" x14ac:dyDescent="0.2">
      <c r="O2069" s="38" t="s">
        <v>1690</v>
      </c>
      <c r="P2069" s="47" t="s">
        <v>109</v>
      </c>
    </row>
    <row r="2070" spans="15:16" x14ac:dyDescent="0.2">
      <c r="O2070" s="37" t="s">
        <v>1691</v>
      </c>
      <c r="P2070" s="46" t="s">
        <v>109</v>
      </c>
    </row>
    <row r="2071" spans="15:16" x14ac:dyDescent="0.2">
      <c r="O2071" s="38" t="s">
        <v>408</v>
      </c>
      <c r="P2071" s="47" t="s">
        <v>109</v>
      </c>
    </row>
    <row r="2072" spans="15:16" x14ac:dyDescent="0.2">
      <c r="O2072" s="37" t="s">
        <v>1692</v>
      </c>
      <c r="P2072" s="46" t="s">
        <v>109</v>
      </c>
    </row>
    <row r="2073" spans="15:16" x14ac:dyDescent="0.2">
      <c r="O2073" s="38" t="s">
        <v>682</v>
      </c>
      <c r="P2073" s="47" t="s">
        <v>109</v>
      </c>
    </row>
    <row r="2074" spans="15:16" x14ac:dyDescent="0.2">
      <c r="O2074" s="37" t="s">
        <v>764</v>
      </c>
      <c r="P2074" s="46" t="s">
        <v>109</v>
      </c>
    </row>
    <row r="2075" spans="15:16" x14ac:dyDescent="0.2">
      <c r="O2075" s="38" t="s">
        <v>876</v>
      </c>
      <c r="P2075" s="47" t="s">
        <v>109</v>
      </c>
    </row>
    <row r="2076" spans="15:16" x14ac:dyDescent="0.2">
      <c r="O2076" s="37" t="s">
        <v>923</v>
      </c>
      <c r="P2076" s="46" t="s">
        <v>109</v>
      </c>
    </row>
    <row r="2077" spans="15:16" x14ac:dyDescent="0.2">
      <c r="O2077" s="38" t="s">
        <v>410</v>
      </c>
      <c r="P2077" s="47" t="s">
        <v>109</v>
      </c>
    </row>
    <row r="2078" spans="15:16" x14ac:dyDescent="0.2">
      <c r="O2078" s="37" t="s">
        <v>1693</v>
      </c>
      <c r="P2078" s="46" t="s">
        <v>109</v>
      </c>
    </row>
    <row r="2079" spans="15:16" x14ac:dyDescent="0.2">
      <c r="O2079" s="38" t="s">
        <v>1694</v>
      </c>
      <c r="P2079" s="47" t="s">
        <v>109</v>
      </c>
    </row>
    <row r="2080" spans="15:16" x14ac:dyDescent="0.2">
      <c r="O2080" s="37" t="s">
        <v>688</v>
      </c>
      <c r="P2080" s="46" t="s">
        <v>109</v>
      </c>
    </row>
    <row r="2081" spans="15:16" x14ac:dyDescent="0.2">
      <c r="O2081" s="38" t="s">
        <v>1244</v>
      </c>
      <c r="P2081" s="47" t="s">
        <v>109</v>
      </c>
    </row>
    <row r="2082" spans="15:16" x14ac:dyDescent="0.2">
      <c r="O2082" s="37" t="s">
        <v>412</v>
      </c>
      <c r="P2082" s="46" t="s">
        <v>109</v>
      </c>
    </row>
    <row r="2083" spans="15:16" x14ac:dyDescent="0.2">
      <c r="O2083" s="38" t="s">
        <v>413</v>
      </c>
      <c r="P2083" s="47" t="s">
        <v>109</v>
      </c>
    </row>
    <row r="2084" spans="15:16" x14ac:dyDescent="0.2">
      <c r="O2084" s="37" t="s">
        <v>884</v>
      </c>
      <c r="P2084" s="46" t="s">
        <v>109</v>
      </c>
    </row>
    <row r="2085" spans="15:16" x14ac:dyDescent="0.2">
      <c r="O2085" s="38" t="s">
        <v>557</v>
      </c>
      <c r="P2085" s="47" t="s">
        <v>109</v>
      </c>
    </row>
    <row r="2086" spans="15:16" x14ac:dyDescent="0.2">
      <c r="O2086" s="37" t="s">
        <v>416</v>
      </c>
      <c r="P2086" s="46" t="s">
        <v>109</v>
      </c>
    </row>
    <row r="2087" spans="15:16" x14ac:dyDescent="0.2">
      <c r="O2087" s="38" t="s">
        <v>1695</v>
      </c>
      <c r="P2087" s="47" t="s">
        <v>109</v>
      </c>
    </row>
    <row r="2088" spans="15:16" x14ac:dyDescent="0.2">
      <c r="O2088" s="37" t="s">
        <v>515</v>
      </c>
      <c r="P2088" s="46" t="s">
        <v>109</v>
      </c>
    </row>
    <row r="2089" spans="15:16" x14ac:dyDescent="0.2">
      <c r="O2089" s="38" t="s">
        <v>1696</v>
      </c>
      <c r="P2089" s="47" t="s">
        <v>109</v>
      </c>
    </row>
    <row r="2090" spans="15:16" x14ac:dyDescent="0.2">
      <c r="O2090" s="37" t="s">
        <v>977</v>
      </c>
      <c r="P2090" s="46" t="s">
        <v>109</v>
      </c>
    </row>
    <row r="2091" spans="15:16" x14ac:dyDescent="0.2">
      <c r="O2091" s="38" t="s">
        <v>421</v>
      </c>
      <c r="P2091" s="47" t="s">
        <v>109</v>
      </c>
    </row>
    <row r="2092" spans="15:16" x14ac:dyDescent="0.2">
      <c r="O2092" s="37" t="s">
        <v>1697</v>
      </c>
      <c r="P2092" s="46" t="s">
        <v>109</v>
      </c>
    </row>
    <row r="2093" spans="15:16" x14ac:dyDescent="0.2">
      <c r="O2093" s="38" t="s">
        <v>423</v>
      </c>
      <c r="P2093" s="47" t="s">
        <v>109</v>
      </c>
    </row>
    <row r="2094" spans="15:16" x14ac:dyDescent="0.2">
      <c r="O2094" s="37" t="s">
        <v>1698</v>
      </c>
      <c r="P2094" s="46" t="s">
        <v>109</v>
      </c>
    </row>
    <row r="2095" spans="15:16" x14ac:dyDescent="0.2">
      <c r="O2095" s="38" t="s">
        <v>1699</v>
      </c>
      <c r="P2095" s="47" t="s">
        <v>109</v>
      </c>
    </row>
    <row r="2096" spans="15:16" x14ac:dyDescent="0.2">
      <c r="O2096" s="37" t="s">
        <v>894</v>
      </c>
      <c r="P2096" s="46" t="s">
        <v>109</v>
      </c>
    </row>
    <row r="2097" spans="15:16" x14ac:dyDescent="0.2">
      <c r="O2097" s="38" t="s">
        <v>931</v>
      </c>
      <c r="P2097" s="47" t="s">
        <v>109</v>
      </c>
    </row>
    <row r="2098" spans="15:16" x14ac:dyDescent="0.2">
      <c r="O2098" s="37" t="s">
        <v>426</v>
      </c>
      <c r="P2098" s="46" t="s">
        <v>109</v>
      </c>
    </row>
    <row r="2099" spans="15:16" x14ac:dyDescent="0.2">
      <c r="O2099" s="38" t="s">
        <v>427</v>
      </c>
      <c r="P2099" s="47" t="s">
        <v>109</v>
      </c>
    </row>
    <row r="2100" spans="15:16" x14ac:dyDescent="0.2">
      <c r="O2100" s="37" t="s">
        <v>428</v>
      </c>
      <c r="P2100" s="46" t="s">
        <v>109</v>
      </c>
    </row>
    <row r="2101" spans="15:16" x14ac:dyDescent="0.2">
      <c r="O2101" s="38" t="s">
        <v>1700</v>
      </c>
      <c r="P2101" s="47" t="s">
        <v>109</v>
      </c>
    </row>
    <row r="2102" spans="15:16" x14ac:dyDescent="0.2">
      <c r="O2102" s="37" t="s">
        <v>1701</v>
      </c>
      <c r="P2102" s="46" t="s">
        <v>109</v>
      </c>
    </row>
    <row r="2103" spans="15:16" x14ac:dyDescent="0.2">
      <c r="O2103" s="38" t="s">
        <v>932</v>
      </c>
      <c r="P2103" s="47" t="s">
        <v>109</v>
      </c>
    </row>
    <row r="2104" spans="15:16" x14ac:dyDescent="0.2">
      <c r="O2104" s="37" t="s">
        <v>1040</v>
      </c>
      <c r="P2104" s="46" t="s">
        <v>109</v>
      </c>
    </row>
    <row r="2105" spans="15:16" x14ac:dyDescent="0.2">
      <c r="O2105" s="38" t="s">
        <v>786</v>
      </c>
      <c r="P2105" s="47" t="s">
        <v>109</v>
      </c>
    </row>
    <row r="2106" spans="15:16" x14ac:dyDescent="0.2">
      <c r="O2106" s="37" t="s">
        <v>429</v>
      </c>
      <c r="P2106" s="46" t="s">
        <v>109</v>
      </c>
    </row>
    <row r="2107" spans="15:16" x14ac:dyDescent="0.2">
      <c r="O2107" s="38" t="s">
        <v>1702</v>
      </c>
      <c r="P2107" s="47" t="s">
        <v>109</v>
      </c>
    </row>
    <row r="2108" spans="15:16" x14ac:dyDescent="0.2">
      <c r="O2108" s="37" t="s">
        <v>431</v>
      </c>
      <c r="P2108" s="46" t="s">
        <v>109</v>
      </c>
    </row>
    <row r="2109" spans="15:16" x14ac:dyDescent="0.2">
      <c r="O2109" s="38" t="s">
        <v>1703</v>
      </c>
      <c r="P2109" s="47" t="s">
        <v>109</v>
      </c>
    </row>
    <row r="2110" spans="15:16" x14ac:dyDescent="0.2">
      <c r="O2110" s="37" t="s">
        <v>1704</v>
      </c>
      <c r="P2110" s="46" t="s">
        <v>109</v>
      </c>
    </row>
    <row r="2111" spans="15:16" x14ac:dyDescent="0.2">
      <c r="O2111" s="38" t="s">
        <v>702</v>
      </c>
      <c r="P2111" s="47" t="s">
        <v>109</v>
      </c>
    </row>
    <row r="2112" spans="15:16" x14ac:dyDescent="0.2">
      <c r="O2112" s="37" t="s">
        <v>899</v>
      </c>
      <c r="P2112" s="46" t="s">
        <v>109</v>
      </c>
    </row>
    <row r="2113" spans="15:16" x14ac:dyDescent="0.2">
      <c r="O2113" s="38" t="s">
        <v>1705</v>
      </c>
      <c r="P2113" s="47" t="s">
        <v>109</v>
      </c>
    </row>
    <row r="2114" spans="15:16" x14ac:dyDescent="0.2">
      <c r="O2114" s="37" t="s">
        <v>1706</v>
      </c>
      <c r="P2114" s="46" t="s">
        <v>109</v>
      </c>
    </row>
    <row r="2115" spans="15:16" x14ac:dyDescent="0.2">
      <c r="O2115" s="38" t="s">
        <v>1707</v>
      </c>
      <c r="P2115" s="47" t="s">
        <v>109</v>
      </c>
    </row>
    <row r="2116" spans="15:16" x14ac:dyDescent="0.2">
      <c r="O2116" s="37" t="s">
        <v>1577</v>
      </c>
      <c r="P2116" s="46" t="s">
        <v>109</v>
      </c>
    </row>
    <row r="2117" spans="15:16" x14ac:dyDescent="0.2">
      <c r="O2117" s="38" t="s">
        <v>435</v>
      </c>
      <c r="P2117" s="47" t="s">
        <v>109</v>
      </c>
    </row>
    <row r="2118" spans="15:16" x14ac:dyDescent="0.2">
      <c r="O2118" s="37" t="s">
        <v>903</v>
      </c>
      <c r="P2118" s="46" t="s">
        <v>109</v>
      </c>
    </row>
    <row r="2119" spans="15:16" x14ac:dyDescent="0.2">
      <c r="O2119" s="38" t="s">
        <v>648</v>
      </c>
      <c r="P2119" s="47" t="s">
        <v>109</v>
      </c>
    </row>
    <row r="2120" spans="15:16" x14ac:dyDescent="0.2">
      <c r="O2120" s="37" t="s">
        <v>1708</v>
      </c>
      <c r="P2120" s="46" t="s">
        <v>109</v>
      </c>
    </row>
    <row r="2121" spans="15:16" x14ac:dyDescent="0.2">
      <c r="O2121" s="38" t="s">
        <v>1709</v>
      </c>
      <c r="P2121" s="47" t="s">
        <v>109</v>
      </c>
    </row>
    <row r="2122" spans="15:16" x14ac:dyDescent="0.2">
      <c r="O2122" s="37" t="s">
        <v>536</v>
      </c>
      <c r="P2122" s="46" t="s">
        <v>109</v>
      </c>
    </row>
    <row r="2123" spans="15:16" x14ac:dyDescent="0.2">
      <c r="O2123" s="38" t="s">
        <v>1710</v>
      </c>
      <c r="P2123" s="47" t="s">
        <v>109</v>
      </c>
    </row>
    <row r="2124" spans="15:16" x14ac:dyDescent="0.2">
      <c r="O2124" s="37" t="s">
        <v>1711</v>
      </c>
      <c r="P2124" s="46" t="s">
        <v>109</v>
      </c>
    </row>
    <row r="2125" spans="15:16" x14ac:dyDescent="0.2">
      <c r="O2125" s="38" t="s">
        <v>813</v>
      </c>
      <c r="P2125" s="47" t="s">
        <v>109</v>
      </c>
    </row>
    <row r="2126" spans="15:16" x14ac:dyDescent="0.2">
      <c r="O2126" s="37" t="s">
        <v>441</v>
      </c>
      <c r="P2126" s="46" t="s">
        <v>109</v>
      </c>
    </row>
    <row r="2127" spans="15:16" x14ac:dyDescent="0.2">
      <c r="O2127" s="38" t="s">
        <v>814</v>
      </c>
      <c r="P2127" s="47" t="s">
        <v>109</v>
      </c>
    </row>
    <row r="2128" spans="15:16" x14ac:dyDescent="0.2">
      <c r="O2128" s="37" t="s">
        <v>1678</v>
      </c>
      <c r="P2128" s="46" t="s">
        <v>109</v>
      </c>
    </row>
    <row r="2129" spans="15:16" x14ac:dyDescent="0.2">
      <c r="O2129" s="38" t="s">
        <v>1712</v>
      </c>
      <c r="P2129" s="47" t="s">
        <v>109</v>
      </c>
    </row>
    <row r="2130" spans="15:16" x14ac:dyDescent="0.2">
      <c r="O2130" s="37" t="s">
        <v>1713</v>
      </c>
      <c r="P2130" s="46" t="s">
        <v>109</v>
      </c>
    </row>
    <row r="2131" spans="15:16" x14ac:dyDescent="0.2">
      <c r="O2131" s="38" t="s">
        <v>954</v>
      </c>
      <c r="P2131" s="47" t="s">
        <v>30</v>
      </c>
    </row>
    <row r="2132" spans="15:16" x14ac:dyDescent="0.2">
      <c r="O2132" s="37" t="s">
        <v>1714</v>
      </c>
      <c r="P2132" s="46" t="s">
        <v>30</v>
      </c>
    </row>
    <row r="2133" spans="15:16" x14ac:dyDescent="0.2">
      <c r="O2133" s="38" t="s">
        <v>1715</v>
      </c>
      <c r="P2133" s="47" t="s">
        <v>30</v>
      </c>
    </row>
    <row r="2134" spans="15:16" x14ac:dyDescent="0.2">
      <c r="O2134" s="37" t="s">
        <v>1716</v>
      </c>
      <c r="P2134" s="46" t="s">
        <v>30</v>
      </c>
    </row>
    <row r="2135" spans="15:16" x14ac:dyDescent="0.2">
      <c r="O2135" s="38" t="s">
        <v>1717</v>
      </c>
      <c r="P2135" s="47" t="s">
        <v>30</v>
      </c>
    </row>
    <row r="2136" spans="15:16" x14ac:dyDescent="0.2">
      <c r="O2136" s="37" t="s">
        <v>831</v>
      </c>
      <c r="P2136" s="46" t="s">
        <v>30</v>
      </c>
    </row>
    <row r="2137" spans="15:16" x14ac:dyDescent="0.2">
      <c r="O2137" s="38" t="s">
        <v>724</v>
      </c>
      <c r="P2137" s="47" t="s">
        <v>30</v>
      </c>
    </row>
    <row r="2138" spans="15:16" x14ac:dyDescent="0.2">
      <c r="O2138" s="37" t="s">
        <v>1718</v>
      </c>
      <c r="P2138" s="46" t="s">
        <v>30</v>
      </c>
    </row>
    <row r="2139" spans="15:16" x14ac:dyDescent="0.2">
      <c r="O2139" s="38" t="s">
        <v>1719</v>
      </c>
      <c r="P2139" s="47" t="s">
        <v>30</v>
      </c>
    </row>
    <row r="2140" spans="15:16" x14ac:dyDescent="0.2">
      <c r="O2140" s="37" t="s">
        <v>1080</v>
      </c>
      <c r="P2140" s="46" t="s">
        <v>30</v>
      </c>
    </row>
    <row r="2141" spans="15:16" x14ac:dyDescent="0.2">
      <c r="O2141" s="38" t="s">
        <v>386</v>
      </c>
      <c r="P2141" s="47" t="s">
        <v>30</v>
      </c>
    </row>
    <row r="2142" spans="15:16" x14ac:dyDescent="0.2">
      <c r="O2142" s="37" t="s">
        <v>388</v>
      </c>
      <c r="P2142" s="46" t="s">
        <v>30</v>
      </c>
    </row>
    <row r="2143" spans="15:16" x14ac:dyDescent="0.2">
      <c r="O2143" s="38" t="s">
        <v>1720</v>
      </c>
      <c r="P2143" s="47" t="s">
        <v>30</v>
      </c>
    </row>
    <row r="2144" spans="15:16" x14ac:dyDescent="0.2">
      <c r="O2144" s="37" t="s">
        <v>493</v>
      </c>
      <c r="P2144" s="46" t="s">
        <v>30</v>
      </c>
    </row>
    <row r="2145" spans="15:16" x14ac:dyDescent="0.2">
      <c r="O2145" s="38" t="s">
        <v>1721</v>
      </c>
      <c r="P2145" s="47" t="s">
        <v>30</v>
      </c>
    </row>
    <row r="2146" spans="15:16" x14ac:dyDescent="0.2">
      <c r="O2146" s="37" t="s">
        <v>1008</v>
      </c>
      <c r="P2146" s="46" t="s">
        <v>30</v>
      </c>
    </row>
    <row r="2147" spans="15:16" x14ac:dyDescent="0.2">
      <c r="O2147" s="38" t="s">
        <v>1722</v>
      </c>
      <c r="P2147" s="47" t="s">
        <v>30</v>
      </c>
    </row>
    <row r="2148" spans="15:16" x14ac:dyDescent="0.2">
      <c r="O2148" s="37" t="s">
        <v>1723</v>
      </c>
      <c r="P2148" s="46" t="s">
        <v>30</v>
      </c>
    </row>
    <row r="2149" spans="15:16" x14ac:dyDescent="0.2">
      <c r="O2149" s="38" t="s">
        <v>1724</v>
      </c>
      <c r="P2149" s="47" t="s">
        <v>30</v>
      </c>
    </row>
    <row r="2150" spans="15:16" x14ac:dyDescent="0.2">
      <c r="O2150" s="37" t="s">
        <v>610</v>
      </c>
      <c r="P2150" s="46" t="s">
        <v>30</v>
      </c>
    </row>
    <row r="2151" spans="15:16" x14ac:dyDescent="0.2">
      <c r="O2151" s="38" t="s">
        <v>918</v>
      </c>
      <c r="P2151" s="47" t="s">
        <v>30</v>
      </c>
    </row>
    <row r="2152" spans="15:16" x14ac:dyDescent="0.2">
      <c r="O2152" s="37" t="s">
        <v>1725</v>
      </c>
      <c r="P2152" s="46" t="s">
        <v>30</v>
      </c>
    </row>
    <row r="2153" spans="15:16" x14ac:dyDescent="0.2">
      <c r="O2153" s="38" t="s">
        <v>1012</v>
      </c>
      <c r="P2153" s="47" t="s">
        <v>30</v>
      </c>
    </row>
    <row r="2154" spans="15:16" x14ac:dyDescent="0.2">
      <c r="O2154" s="37" t="s">
        <v>619</v>
      </c>
      <c r="P2154" s="46" t="s">
        <v>30</v>
      </c>
    </row>
    <row r="2155" spans="15:16" x14ac:dyDescent="0.2">
      <c r="O2155" s="38" t="s">
        <v>1726</v>
      </c>
      <c r="P2155" s="47" t="s">
        <v>30</v>
      </c>
    </row>
    <row r="2156" spans="15:16" x14ac:dyDescent="0.2">
      <c r="O2156" s="37" t="s">
        <v>760</v>
      </c>
      <c r="P2156" s="46" t="s">
        <v>30</v>
      </c>
    </row>
    <row r="2157" spans="15:16" x14ac:dyDescent="0.2">
      <c r="O2157" s="38" t="s">
        <v>505</v>
      </c>
      <c r="P2157" s="47" t="s">
        <v>30</v>
      </c>
    </row>
    <row r="2158" spans="15:16" x14ac:dyDescent="0.2">
      <c r="O2158" s="37" t="s">
        <v>1727</v>
      </c>
      <c r="P2158" s="46" t="s">
        <v>30</v>
      </c>
    </row>
    <row r="2159" spans="15:16" x14ac:dyDescent="0.2">
      <c r="O2159" s="38" t="s">
        <v>1728</v>
      </c>
      <c r="P2159" s="47" t="s">
        <v>30</v>
      </c>
    </row>
    <row r="2160" spans="15:16" x14ac:dyDescent="0.2">
      <c r="O2160" s="37" t="s">
        <v>1020</v>
      </c>
      <c r="P2160" s="46" t="s">
        <v>30</v>
      </c>
    </row>
    <row r="2161" spans="15:16" x14ac:dyDescent="0.2">
      <c r="O2161" s="38" t="s">
        <v>1022</v>
      </c>
      <c r="P2161" s="47" t="s">
        <v>30</v>
      </c>
    </row>
    <row r="2162" spans="15:16" x14ac:dyDescent="0.2">
      <c r="O2162" s="37" t="s">
        <v>1729</v>
      </c>
      <c r="P2162" s="46" t="s">
        <v>30</v>
      </c>
    </row>
    <row r="2163" spans="15:16" x14ac:dyDescent="0.2">
      <c r="O2163" s="38" t="s">
        <v>412</v>
      </c>
      <c r="P2163" s="47" t="s">
        <v>30</v>
      </c>
    </row>
    <row r="2164" spans="15:16" x14ac:dyDescent="0.2">
      <c r="O2164" s="37" t="s">
        <v>413</v>
      </c>
      <c r="P2164" s="46" t="s">
        <v>30</v>
      </c>
    </row>
    <row r="2165" spans="15:16" x14ac:dyDescent="0.2">
      <c r="O2165" s="38" t="s">
        <v>1619</v>
      </c>
      <c r="P2165" s="47" t="s">
        <v>30</v>
      </c>
    </row>
    <row r="2166" spans="15:16" x14ac:dyDescent="0.2">
      <c r="O2166" s="37" t="s">
        <v>1730</v>
      </c>
      <c r="P2166" s="46" t="s">
        <v>30</v>
      </c>
    </row>
    <row r="2167" spans="15:16" x14ac:dyDescent="0.2">
      <c r="O2167" s="38" t="s">
        <v>1731</v>
      </c>
      <c r="P2167" s="47" t="s">
        <v>30</v>
      </c>
    </row>
    <row r="2168" spans="15:16" x14ac:dyDescent="0.2">
      <c r="O2168" s="37" t="s">
        <v>625</v>
      </c>
      <c r="P2168" s="46" t="s">
        <v>30</v>
      </c>
    </row>
    <row r="2169" spans="15:16" x14ac:dyDescent="0.2">
      <c r="O2169" s="38" t="s">
        <v>1732</v>
      </c>
      <c r="P2169" s="47" t="s">
        <v>30</v>
      </c>
    </row>
    <row r="2170" spans="15:16" x14ac:dyDescent="0.2">
      <c r="O2170" s="37" t="s">
        <v>1733</v>
      </c>
      <c r="P2170" s="46" t="s">
        <v>30</v>
      </c>
    </row>
    <row r="2171" spans="15:16" x14ac:dyDescent="0.2">
      <c r="O2171" s="38" t="s">
        <v>513</v>
      </c>
      <c r="P2171" s="47" t="s">
        <v>30</v>
      </c>
    </row>
    <row r="2172" spans="15:16" x14ac:dyDescent="0.2">
      <c r="O2172" s="37" t="s">
        <v>515</v>
      </c>
      <c r="P2172" s="46" t="s">
        <v>30</v>
      </c>
    </row>
    <row r="2173" spans="15:16" x14ac:dyDescent="0.2">
      <c r="O2173" s="38" t="s">
        <v>1734</v>
      </c>
      <c r="P2173" s="47" t="s">
        <v>30</v>
      </c>
    </row>
    <row r="2174" spans="15:16" x14ac:dyDescent="0.2">
      <c r="O2174" s="37" t="s">
        <v>1735</v>
      </c>
      <c r="P2174" s="46" t="s">
        <v>30</v>
      </c>
    </row>
    <row r="2175" spans="15:16" x14ac:dyDescent="0.2">
      <c r="O2175" s="38" t="s">
        <v>1736</v>
      </c>
      <c r="P2175" s="47" t="s">
        <v>30</v>
      </c>
    </row>
    <row r="2176" spans="15:16" x14ac:dyDescent="0.2">
      <c r="O2176" s="37" t="s">
        <v>779</v>
      </c>
      <c r="P2176" s="46" t="s">
        <v>30</v>
      </c>
    </row>
    <row r="2177" spans="15:16" x14ac:dyDescent="0.2">
      <c r="O2177" s="38" t="s">
        <v>1737</v>
      </c>
      <c r="P2177" s="47" t="s">
        <v>30</v>
      </c>
    </row>
    <row r="2178" spans="15:16" x14ac:dyDescent="0.2">
      <c r="O2178" s="37" t="s">
        <v>424</v>
      </c>
      <c r="P2178" s="46" t="s">
        <v>30</v>
      </c>
    </row>
    <row r="2179" spans="15:16" x14ac:dyDescent="0.2">
      <c r="O2179" s="38" t="s">
        <v>1738</v>
      </c>
      <c r="P2179" s="47" t="s">
        <v>30</v>
      </c>
    </row>
    <row r="2180" spans="15:16" x14ac:dyDescent="0.2">
      <c r="O2180" s="37" t="s">
        <v>782</v>
      </c>
      <c r="P2180" s="46" t="s">
        <v>30</v>
      </c>
    </row>
    <row r="2181" spans="15:16" x14ac:dyDescent="0.2">
      <c r="O2181" s="38" t="s">
        <v>1739</v>
      </c>
      <c r="P2181" s="47" t="s">
        <v>30</v>
      </c>
    </row>
    <row r="2182" spans="15:16" x14ac:dyDescent="0.2">
      <c r="O2182" s="37" t="s">
        <v>932</v>
      </c>
      <c r="P2182" s="46" t="s">
        <v>30</v>
      </c>
    </row>
    <row r="2183" spans="15:16" x14ac:dyDescent="0.2">
      <c r="O2183" s="38" t="s">
        <v>1740</v>
      </c>
      <c r="P2183" s="47" t="s">
        <v>30</v>
      </c>
    </row>
    <row r="2184" spans="15:16" x14ac:dyDescent="0.2">
      <c r="O2184" s="37" t="s">
        <v>1741</v>
      </c>
      <c r="P2184" s="46" t="s">
        <v>30</v>
      </c>
    </row>
    <row r="2185" spans="15:16" x14ac:dyDescent="0.2">
      <c r="O2185" s="38" t="s">
        <v>1742</v>
      </c>
      <c r="P2185" s="47" t="s">
        <v>30</v>
      </c>
    </row>
    <row r="2186" spans="15:16" x14ac:dyDescent="0.2">
      <c r="O2186" s="37" t="s">
        <v>1743</v>
      </c>
      <c r="P2186" s="46" t="s">
        <v>30</v>
      </c>
    </row>
    <row r="2187" spans="15:16" x14ac:dyDescent="0.2">
      <c r="O2187" s="38" t="s">
        <v>1038</v>
      </c>
      <c r="P2187" s="47" t="s">
        <v>30</v>
      </c>
    </row>
    <row r="2188" spans="15:16" x14ac:dyDescent="0.2">
      <c r="O2188" s="37" t="s">
        <v>1040</v>
      </c>
      <c r="P2188" s="46" t="s">
        <v>30</v>
      </c>
    </row>
    <row r="2189" spans="15:16" x14ac:dyDescent="0.2">
      <c r="O2189" s="38" t="s">
        <v>1041</v>
      </c>
      <c r="P2189" s="47" t="s">
        <v>30</v>
      </c>
    </row>
    <row r="2190" spans="15:16" x14ac:dyDescent="0.2">
      <c r="O2190" s="37" t="s">
        <v>1744</v>
      </c>
      <c r="P2190" s="46" t="s">
        <v>30</v>
      </c>
    </row>
    <row r="2191" spans="15:16" x14ac:dyDescent="0.2">
      <c r="O2191" s="38" t="s">
        <v>1745</v>
      </c>
      <c r="P2191" s="47" t="s">
        <v>30</v>
      </c>
    </row>
    <row r="2192" spans="15:16" x14ac:dyDescent="0.2">
      <c r="O2192" s="37" t="s">
        <v>1369</v>
      </c>
      <c r="P2192" s="46" t="s">
        <v>30</v>
      </c>
    </row>
    <row r="2193" spans="15:16" x14ac:dyDescent="0.2">
      <c r="O2193" s="38" t="s">
        <v>1042</v>
      </c>
      <c r="P2193" s="47" t="s">
        <v>30</v>
      </c>
    </row>
    <row r="2194" spans="15:16" x14ac:dyDescent="0.2">
      <c r="O2194" s="37" t="s">
        <v>1746</v>
      </c>
      <c r="P2194" s="46" t="s">
        <v>30</v>
      </c>
    </row>
    <row r="2195" spans="15:16" x14ac:dyDescent="0.2">
      <c r="O2195" s="38" t="s">
        <v>1747</v>
      </c>
      <c r="P2195" s="47" t="s">
        <v>30</v>
      </c>
    </row>
    <row r="2196" spans="15:16" x14ac:dyDescent="0.2">
      <c r="O2196" s="37" t="s">
        <v>1748</v>
      </c>
      <c r="P2196" s="46" t="s">
        <v>30</v>
      </c>
    </row>
    <row r="2197" spans="15:16" x14ac:dyDescent="0.2">
      <c r="O2197" s="38" t="s">
        <v>707</v>
      </c>
      <c r="P2197" s="47" t="s">
        <v>30</v>
      </c>
    </row>
    <row r="2198" spans="15:16" x14ac:dyDescent="0.2">
      <c r="O2198" s="37" t="s">
        <v>1749</v>
      </c>
      <c r="P2198" s="46" t="s">
        <v>30</v>
      </c>
    </row>
    <row r="2199" spans="15:16" x14ac:dyDescent="0.2">
      <c r="O2199" s="38" t="s">
        <v>796</v>
      </c>
      <c r="P2199" s="47" t="s">
        <v>30</v>
      </c>
    </row>
    <row r="2200" spans="15:16" x14ac:dyDescent="0.2">
      <c r="O2200" s="37" t="s">
        <v>1420</v>
      </c>
      <c r="P2200" s="46" t="s">
        <v>30</v>
      </c>
    </row>
    <row r="2201" spans="15:16" x14ac:dyDescent="0.2">
      <c r="O2201" s="38" t="s">
        <v>1750</v>
      </c>
      <c r="P2201" s="47" t="s">
        <v>30</v>
      </c>
    </row>
    <row r="2202" spans="15:16" x14ac:dyDescent="0.2">
      <c r="O2202" s="37" t="s">
        <v>1751</v>
      </c>
      <c r="P2202" s="46" t="s">
        <v>30</v>
      </c>
    </row>
    <row r="2203" spans="15:16" x14ac:dyDescent="0.2">
      <c r="O2203" s="38" t="s">
        <v>1752</v>
      </c>
      <c r="P2203" s="47" t="s">
        <v>30</v>
      </c>
    </row>
    <row r="2204" spans="15:16" x14ac:dyDescent="0.2">
      <c r="O2204" s="37" t="s">
        <v>441</v>
      </c>
      <c r="P2204" s="46" t="s">
        <v>30</v>
      </c>
    </row>
    <row r="2205" spans="15:16" x14ac:dyDescent="0.2">
      <c r="O2205" s="38" t="s">
        <v>1753</v>
      </c>
      <c r="P2205" s="47" t="s">
        <v>30</v>
      </c>
    </row>
    <row r="2206" spans="15:16" x14ac:dyDescent="0.2">
      <c r="O2206" s="37" t="s">
        <v>1754</v>
      </c>
      <c r="P2206" s="46" t="s">
        <v>30</v>
      </c>
    </row>
    <row r="2207" spans="15:16" x14ac:dyDescent="0.2">
      <c r="O2207" s="38" t="s">
        <v>1755</v>
      </c>
      <c r="P2207" s="47" t="s">
        <v>30</v>
      </c>
    </row>
    <row r="2208" spans="15:16" x14ac:dyDescent="0.2">
      <c r="O2208" s="37" t="s">
        <v>665</v>
      </c>
      <c r="P2208" s="46" t="s">
        <v>108</v>
      </c>
    </row>
    <row r="2209" spans="15:16" x14ac:dyDescent="0.2">
      <c r="O2209" s="38" t="s">
        <v>487</v>
      </c>
      <c r="P2209" s="47" t="s">
        <v>108</v>
      </c>
    </row>
    <row r="2210" spans="15:16" x14ac:dyDescent="0.2">
      <c r="O2210" s="37" t="s">
        <v>1756</v>
      </c>
      <c r="P2210" s="46" t="s">
        <v>108</v>
      </c>
    </row>
    <row r="2211" spans="15:16" x14ac:dyDescent="0.2">
      <c r="O2211" s="38" t="s">
        <v>1757</v>
      </c>
      <c r="P2211" s="47" t="s">
        <v>108</v>
      </c>
    </row>
    <row r="2212" spans="15:16" x14ac:dyDescent="0.2">
      <c r="O2212" s="37" t="s">
        <v>494</v>
      </c>
      <c r="P2212" s="46" t="s">
        <v>108</v>
      </c>
    </row>
    <row r="2213" spans="15:16" x14ac:dyDescent="0.2">
      <c r="O2213" s="38" t="s">
        <v>1513</v>
      </c>
      <c r="P2213" s="47" t="s">
        <v>108</v>
      </c>
    </row>
    <row r="2214" spans="15:16" x14ac:dyDescent="0.2">
      <c r="O2214" s="37" t="s">
        <v>1758</v>
      </c>
      <c r="P2214" s="46" t="s">
        <v>108</v>
      </c>
    </row>
    <row r="2215" spans="15:16" x14ac:dyDescent="0.2">
      <c r="O2215" s="38" t="s">
        <v>1533</v>
      </c>
      <c r="P2215" s="47" t="s">
        <v>108</v>
      </c>
    </row>
    <row r="2216" spans="15:16" x14ac:dyDescent="0.2">
      <c r="O2216" s="37" t="s">
        <v>1759</v>
      </c>
      <c r="P2216" s="46" t="s">
        <v>108</v>
      </c>
    </row>
    <row r="2217" spans="15:16" x14ac:dyDescent="0.2">
      <c r="O2217" s="38" t="s">
        <v>614</v>
      </c>
      <c r="P2217" s="47" t="s">
        <v>108</v>
      </c>
    </row>
    <row r="2218" spans="15:16" x14ac:dyDescent="0.2">
      <c r="O2218" s="37" t="s">
        <v>1760</v>
      </c>
      <c r="P2218" s="46" t="s">
        <v>108</v>
      </c>
    </row>
    <row r="2219" spans="15:16" x14ac:dyDescent="0.2">
      <c r="O2219" s="38" t="s">
        <v>505</v>
      </c>
      <c r="P2219" s="47" t="s">
        <v>108</v>
      </c>
    </row>
    <row r="2220" spans="15:16" x14ac:dyDescent="0.2">
      <c r="O2220" s="37" t="s">
        <v>1761</v>
      </c>
      <c r="P2220" s="46" t="s">
        <v>108</v>
      </c>
    </row>
    <row r="2221" spans="15:16" x14ac:dyDescent="0.2">
      <c r="O2221" s="38" t="s">
        <v>1762</v>
      </c>
      <c r="P2221" s="47" t="s">
        <v>108</v>
      </c>
    </row>
    <row r="2222" spans="15:16" x14ac:dyDescent="0.2">
      <c r="O2222" s="37" t="s">
        <v>412</v>
      </c>
      <c r="P2222" s="46" t="s">
        <v>108</v>
      </c>
    </row>
    <row r="2223" spans="15:16" x14ac:dyDescent="0.2">
      <c r="O2223" s="38" t="s">
        <v>413</v>
      </c>
      <c r="P2223" s="47" t="s">
        <v>108</v>
      </c>
    </row>
    <row r="2224" spans="15:16" x14ac:dyDescent="0.2">
      <c r="O2224" s="37" t="s">
        <v>1763</v>
      </c>
      <c r="P2224" s="46" t="s">
        <v>108</v>
      </c>
    </row>
    <row r="2225" spans="15:16" x14ac:dyDescent="0.2">
      <c r="O2225" s="38" t="s">
        <v>1764</v>
      </c>
      <c r="P2225" s="47" t="s">
        <v>108</v>
      </c>
    </row>
    <row r="2226" spans="15:16" x14ac:dyDescent="0.2">
      <c r="O2226" s="37" t="s">
        <v>557</v>
      </c>
      <c r="P2226" s="46" t="s">
        <v>108</v>
      </c>
    </row>
    <row r="2227" spans="15:16" x14ac:dyDescent="0.2">
      <c r="O2227" s="38" t="s">
        <v>1028</v>
      </c>
      <c r="P2227" s="47" t="s">
        <v>108</v>
      </c>
    </row>
    <row r="2228" spans="15:16" x14ac:dyDescent="0.2">
      <c r="O2228" s="37" t="s">
        <v>513</v>
      </c>
      <c r="P2228" s="46" t="s">
        <v>108</v>
      </c>
    </row>
    <row r="2229" spans="15:16" x14ac:dyDescent="0.2">
      <c r="O2229" s="38" t="s">
        <v>975</v>
      </c>
      <c r="P2229" s="47" t="s">
        <v>108</v>
      </c>
    </row>
    <row r="2230" spans="15:16" x14ac:dyDescent="0.2">
      <c r="O2230" s="37" t="s">
        <v>1765</v>
      </c>
      <c r="P2230" s="46" t="s">
        <v>108</v>
      </c>
    </row>
    <row r="2231" spans="15:16" x14ac:dyDescent="0.2">
      <c r="O2231" s="38" t="s">
        <v>423</v>
      </c>
      <c r="P2231" s="47" t="s">
        <v>108</v>
      </c>
    </row>
    <row r="2232" spans="15:16" x14ac:dyDescent="0.2">
      <c r="O2232" s="37" t="s">
        <v>1700</v>
      </c>
      <c r="P2232" s="46" t="s">
        <v>108</v>
      </c>
    </row>
    <row r="2233" spans="15:16" x14ac:dyDescent="0.2">
      <c r="O2233" s="38" t="s">
        <v>1766</v>
      </c>
      <c r="P2233" s="47" t="s">
        <v>108</v>
      </c>
    </row>
    <row r="2234" spans="15:16" x14ac:dyDescent="0.2">
      <c r="O2234" s="37" t="s">
        <v>524</v>
      </c>
      <c r="P2234" s="46" t="s">
        <v>108</v>
      </c>
    </row>
    <row r="2235" spans="15:16" x14ac:dyDescent="0.2">
      <c r="O2235" s="38" t="s">
        <v>1053</v>
      </c>
      <c r="P2235" s="47" t="s">
        <v>108</v>
      </c>
    </row>
    <row r="2236" spans="15:16" x14ac:dyDescent="0.2">
      <c r="O2236" s="37" t="s">
        <v>1767</v>
      </c>
      <c r="P2236" s="46" t="s">
        <v>108</v>
      </c>
    </row>
    <row r="2237" spans="15:16" x14ac:dyDescent="0.2">
      <c r="O2237" s="38" t="s">
        <v>1768</v>
      </c>
      <c r="P2237" s="47" t="s">
        <v>108</v>
      </c>
    </row>
    <row r="2238" spans="15:16" x14ac:dyDescent="0.2">
      <c r="O2238" s="37" t="s">
        <v>536</v>
      </c>
      <c r="P2238" s="46" t="s">
        <v>108</v>
      </c>
    </row>
    <row r="2239" spans="15:16" x14ac:dyDescent="0.2">
      <c r="O2239" s="38" t="s">
        <v>1769</v>
      </c>
      <c r="P2239" s="47" t="s">
        <v>108</v>
      </c>
    </row>
    <row r="2240" spans="15:16" x14ac:dyDescent="0.2">
      <c r="O2240" s="37" t="s">
        <v>1770</v>
      </c>
      <c r="P2240" s="46" t="s">
        <v>108</v>
      </c>
    </row>
    <row r="2241" spans="15:16" x14ac:dyDescent="0.2">
      <c r="O2241" s="38" t="s">
        <v>441</v>
      </c>
      <c r="P2241" s="47" t="s">
        <v>108</v>
      </c>
    </row>
    <row r="2242" spans="15:16" x14ac:dyDescent="0.2">
      <c r="O2242" s="37" t="s">
        <v>816</v>
      </c>
      <c r="P2242" s="46" t="s">
        <v>108</v>
      </c>
    </row>
    <row r="2243" spans="15:16" x14ac:dyDescent="0.2">
      <c r="O2243" s="38" t="s">
        <v>1771</v>
      </c>
      <c r="P2243" s="47" t="s">
        <v>108</v>
      </c>
    </row>
    <row r="2244" spans="15:16" x14ac:dyDescent="0.2">
      <c r="O2244" s="37" t="s">
        <v>597</v>
      </c>
      <c r="P2244" s="46" t="s">
        <v>107</v>
      </c>
    </row>
    <row r="2245" spans="15:16" x14ac:dyDescent="0.2">
      <c r="O2245" s="38" t="s">
        <v>1772</v>
      </c>
      <c r="P2245" s="47" t="s">
        <v>107</v>
      </c>
    </row>
    <row r="2246" spans="15:16" x14ac:dyDescent="0.2">
      <c r="O2246" s="37" t="s">
        <v>1773</v>
      </c>
      <c r="P2246" s="46" t="s">
        <v>107</v>
      </c>
    </row>
    <row r="2247" spans="15:16" x14ac:dyDescent="0.2">
      <c r="O2247" s="38" t="s">
        <v>1716</v>
      </c>
      <c r="P2247" s="47" t="s">
        <v>107</v>
      </c>
    </row>
    <row r="2248" spans="15:16" x14ac:dyDescent="0.2">
      <c r="O2248" s="37" t="s">
        <v>1774</v>
      </c>
      <c r="P2248" s="46" t="s">
        <v>107</v>
      </c>
    </row>
    <row r="2249" spans="15:16" x14ac:dyDescent="0.2">
      <c r="O2249" s="38" t="s">
        <v>1775</v>
      </c>
      <c r="P2249" s="47" t="s">
        <v>107</v>
      </c>
    </row>
    <row r="2250" spans="15:16" x14ac:dyDescent="0.2">
      <c r="O2250" s="37" t="s">
        <v>1776</v>
      </c>
      <c r="P2250" s="46" t="s">
        <v>107</v>
      </c>
    </row>
    <row r="2251" spans="15:16" x14ac:dyDescent="0.2">
      <c r="O2251" s="38" t="s">
        <v>667</v>
      </c>
      <c r="P2251" s="47" t="s">
        <v>107</v>
      </c>
    </row>
    <row r="2252" spans="15:16" x14ac:dyDescent="0.2">
      <c r="O2252" s="37" t="s">
        <v>1777</v>
      </c>
      <c r="P2252" s="46" t="s">
        <v>107</v>
      </c>
    </row>
    <row r="2253" spans="15:16" x14ac:dyDescent="0.2">
      <c r="O2253" s="38" t="s">
        <v>383</v>
      </c>
      <c r="P2253" s="47" t="s">
        <v>107</v>
      </c>
    </row>
    <row r="2254" spans="15:16" x14ac:dyDescent="0.2">
      <c r="O2254" s="37" t="s">
        <v>1778</v>
      </c>
      <c r="P2254" s="46" t="s">
        <v>107</v>
      </c>
    </row>
    <row r="2255" spans="15:16" x14ac:dyDescent="0.2">
      <c r="O2255" s="38" t="s">
        <v>1779</v>
      </c>
      <c r="P2255" s="47" t="s">
        <v>107</v>
      </c>
    </row>
    <row r="2256" spans="15:16" x14ac:dyDescent="0.2">
      <c r="O2256" s="37" t="s">
        <v>1426</v>
      </c>
      <c r="P2256" s="46" t="s">
        <v>107</v>
      </c>
    </row>
    <row r="2257" spans="15:16" x14ac:dyDescent="0.2">
      <c r="O2257" s="38" t="s">
        <v>1780</v>
      </c>
      <c r="P2257" s="47" t="s">
        <v>107</v>
      </c>
    </row>
    <row r="2258" spans="15:16" x14ac:dyDescent="0.2">
      <c r="O2258" s="37" t="s">
        <v>1781</v>
      </c>
      <c r="P2258" s="46" t="s">
        <v>107</v>
      </c>
    </row>
    <row r="2259" spans="15:16" x14ac:dyDescent="0.2">
      <c r="O2259" s="38" t="s">
        <v>1782</v>
      </c>
      <c r="P2259" s="47" t="s">
        <v>107</v>
      </c>
    </row>
    <row r="2260" spans="15:16" x14ac:dyDescent="0.2">
      <c r="O2260" s="37" t="s">
        <v>1783</v>
      </c>
      <c r="P2260" s="46" t="s">
        <v>107</v>
      </c>
    </row>
    <row r="2261" spans="15:16" x14ac:dyDescent="0.2">
      <c r="O2261" s="38" t="s">
        <v>866</v>
      </c>
      <c r="P2261" s="47" t="s">
        <v>107</v>
      </c>
    </row>
    <row r="2262" spans="15:16" x14ac:dyDescent="0.2">
      <c r="O2262" s="37" t="s">
        <v>494</v>
      </c>
      <c r="P2262" s="46" t="s">
        <v>107</v>
      </c>
    </row>
    <row r="2263" spans="15:16" x14ac:dyDescent="0.2">
      <c r="O2263" s="38" t="s">
        <v>497</v>
      </c>
      <c r="P2263" s="47" t="s">
        <v>107</v>
      </c>
    </row>
    <row r="2264" spans="15:16" x14ac:dyDescent="0.2">
      <c r="O2264" s="37" t="s">
        <v>868</v>
      </c>
      <c r="P2264" s="46" t="s">
        <v>107</v>
      </c>
    </row>
    <row r="2265" spans="15:16" x14ac:dyDescent="0.2">
      <c r="O2265" s="38" t="s">
        <v>1784</v>
      </c>
      <c r="P2265" s="47" t="s">
        <v>107</v>
      </c>
    </row>
    <row r="2266" spans="15:16" x14ac:dyDescent="0.2">
      <c r="O2266" s="37" t="s">
        <v>918</v>
      </c>
      <c r="P2266" s="46" t="s">
        <v>107</v>
      </c>
    </row>
    <row r="2267" spans="15:16" x14ac:dyDescent="0.2">
      <c r="O2267" s="38" t="s">
        <v>1011</v>
      </c>
      <c r="P2267" s="47" t="s">
        <v>107</v>
      </c>
    </row>
    <row r="2268" spans="15:16" x14ac:dyDescent="0.2">
      <c r="O2268" s="37" t="s">
        <v>1562</v>
      </c>
      <c r="P2268" s="46" t="s">
        <v>107</v>
      </c>
    </row>
    <row r="2269" spans="15:16" x14ac:dyDescent="0.2">
      <c r="O2269" s="38" t="s">
        <v>405</v>
      </c>
      <c r="P2269" s="47" t="s">
        <v>107</v>
      </c>
    </row>
    <row r="2270" spans="15:16" x14ac:dyDescent="0.2">
      <c r="O2270" s="37" t="s">
        <v>1785</v>
      </c>
      <c r="P2270" s="46" t="s">
        <v>107</v>
      </c>
    </row>
    <row r="2271" spans="15:16" x14ac:dyDescent="0.2">
      <c r="O2271" s="38" t="s">
        <v>406</v>
      </c>
      <c r="P2271" s="47" t="s">
        <v>107</v>
      </c>
    </row>
    <row r="2272" spans="15:16" x14ac:dyDescent="0.2">
      <c r="O2272" s="37" t="s">
        <v>503</v>
      </c>
      <c r="P2272" s="46" t="s">
        <v>107</v>
      </c>
    </row>
    <row r="2273" spans="15:16" x14ac:dyDescent="0.2">
      <c r="O2273" s="38" t="s">
        <v>408</v>
      </c>
      <c r="P2273" s="47" t="s">
        <v>107</v>
      </c>
    </row>
    <row r="2274" spans="15:16" x14ac:dyDescent="0.2">
      <c r="O2274" s="37" t="s">
        <v>1786</v>
      </c>
      <c r="P2274" s="46" t="s">
        <v>107</v>
      </c>
    </row>
    <row r="2275" spans="15:16" x14ac:dyDescent="0.2">
      <c r="O2275" s="38" t="s">
        <v>1787</v>
      </c>
      <c r="P2275" s="47" t="s">
        <v>107</v>
      </c>
    </row>
    <row r="2276" spans="15:16" x14ac:dyDescent="0.2">
      <c r="O2276" s="37" t="s">
        <v>413</v>
      </c>
      <c r="P2276" s="46" t="s">
        <v>107</v>
      </c>
    </row>
    <row r="2277" spans="15:16" x14ac:dyDescent="0.2">
      <c r="O2277" s="38" t="s">
        <v>1788</v>
      </c>
      <c r="P2277" s="47" t="s">
        <v>107</v>
      </c>
    </row>
    <row r="2278" spans="15:16" x14ac:dyDescent="0.2">
      <c r="O2278" s="37" t="s">
        <v>1789</v>
      </c>
      <c r="P2278" s="46" t="s">
        <v>107</v>
      </c>
    </row>
    <row r="2279" spans="15:16" x14ac:dyDescent="0.2">
      <c r="O2279" s="38" t="s">
        <v>1485</v>
      </c>
      <c r="P2279" s="47" t="s">
        <v>107</v>
      </c>
    </row>
    <row r="2280" spans="15:16" x14ac:dyDescent="0.2">
      <c r="O2280" s="37" t="s">
        <v>416</v>
      </c>
      <c r="P2280" s="46" t="s">
        <v>107</v>
      </c>
    </row>
    <row r="2281" spans="15:16" x14ac:dyDescent="0.2">
      <c r="O2281" s="38" t="s">
        <v>1790</v>
      </c>
      <c r="P2281" s="47" t="s">
        <v>107</v>
      </c>
    </row>
    <row r="2282" spans="15:16" x14ac:dyDescent="0.2">
      <c r="O2282" s="37" t="s">
        <v>1791</v>
      </c>
      <c r="P2282" s="46" t="s">
        <v>107</v>
      </c>
    </row>
    <row r="2283" spans="15:16" x14ac:dyDescent="0.2">
      <c r="O2283" s="38" t="s">
        <v>1792</v>
      </c>
      <c r="P2283" s="47" t="s">
        <v>107</v>
      </c>
    </row>
    <row r="2284" spans="15:16" x14ac:dyDescent="0.2">
      <c r="O2284" s="37" t="s">
        <v>1793</v>
      </c>
      <c r="P2284" s="46" t="s">
        <v>107</v>
      </c>
    </row>
    <row r="2285" spans="15:16" x14ac:dyDescent="0.2">
      <c r="O2285" s="38" t="s">
        <v>1794</v>
      </c>
      <c r="P2285" s="47" t="s">
        <v>107</v>
      </c>
    </row>
    <row r="2286" spans="15:16" x14ac:dyDescent="0.2">
      <c r="O2286" s="37" t="s">
        <v>894</v>
      </c>
      <c r="P2286" s="46" t="s">
        <v>107</v>
      </c>
    </row>
    <row r="2287" spans="15:16" x14ac:dyDescent="0.2">
      <c r="O2287" s="38" t="s">
        <v>1795</v>
      </c>
      <c r="P2287" s="47" t="s">
        <v>107</v>
      </c>
    </row>
    <row r="2288" spans="15:16" x14ac:dyDescent="0.2">
      <c r="O2288" s="37" t="s">
        <v>426</v>
      </c>
      <c r="P2288" s="46" t="s">
        <v>107</v>
      </c>
    </row>
    <row r="2289" spans="15:16" x14ac:dyDescent="0.2">
      <c r="O2289" s="38" t="s">
        <v>427</v>
      </c>
      <c r="P2289" s="47" t="s">
        <v>107</v>
      </c>
    </row>
    <row r="2290" spans="15:16" x14ac:dyDescent="0.2">
      <c r="O2290" s="37" t="s">
        <v>1796</v>
      </c>
      <c r="P2290" s="46" t="s">
        <v>107</v>
      </c>
    </row>
    <row r="2291" spans="15:16" x14ac:dyDescent="0.2">
      <c r="O2291" s="38" t="s">
        <v>1626</v>
      </c>
      <c r="P2291" s="47" t="s">
        <v>107</v>
      </c>
    </row>
    <row r="2292" spans="15:16" x14ac:dyDescent="0.2">
      <c r="O2292" s="37" t="s">
        <v>1797</v>
      </c>
      <c r="P2292" s="46" t="s">
        <v>107</v>
      </c>
    </row>
    <row r="2293" spans="15:16" x14ac:dyDescent="0.2">
      <c r="O2293" s="38" t="s">
        <v>429</v>
      </c>
      <c r="P2293" s="47" t="s">
        <v>107</v>
      </c>
    </row>
    <row r="2294" spans="15:16" x14ac:dyDescent="0.2">
      <c r="O2294" s="37" t="s">
        <v>1798</v>
      </c>
      <c r="P2294" s="46" t="s">
        <v>107</v>
      </c>
    </row>
    <row r="2295" spans="15:16" x14ac:dyDescent="0.2">
      <c r="O2295" s="38" t="s">
        <v>431</v>
      </c>
      <c r="P2295" s="47" t="s">
        <v>107</v>
      </c>
    </row>
    <row r="2296" spans="15:16" x14ac:dyDescent="0.2">
      <c r="O2296" s="37" t="s">
        <v>1799</v>
      </c>
      <c r="P2296" s="46" t="s">
        <v>107</v>
      </c>
    </row>
    <row r="2297" spans="15:16" x14ac:dyDescent="0.2">
      <c r="O2297" s="38" t="s">
        <v>1800</v>
      </c>
      <c r="P2297" s="47" t="s">
        <v>107</v>
      </c>
    </row>
    <row r="2298" spans="15:16" x14ac:dyDescent="0.2">
      <c r="O2298" s="37" t="s">
        <v>1801</v>
      </c>
      <c r="P2298" s="46" t="s">
        <v>107</v>
      </c>
    </row>
    <row r="2299" spans="15:16" x14ac:dyDescent="0.2">
      <c r="O2299" s="38" t="s">
        <v>1192</v>
      </c>
      <c r="P2299" s="47" t="s">
        <v>107</v>
      </c>
    </row>
    <row r="2300" spans="15:16" x14ac:dyDescent="0.2">
      <c r="O2300" s="37" t="s">
        <v>944</v>
      </c>
      <c r="P2300" s="46" t="s">
        <v>107</v>
      </c>
    </row>
    <row r="2301" spans="15:16" x14ac:dyDescent="0.2">
      <c r="O2301" s="38" t="s">
        <v>1802</v>
      </c>
      <c r="P2301" s="47" t="s">
        <v>107</v>
      </c>
    </row>
    <row r="2302" spans="15:16" x14ac:dyDescent="0.2">
      <c r="O2302" s="37" t="s">
        <v>1578</v>
      </c>
      <c r="P2302" s="46" t="s">
        <v>107</v>
      </c>
    </row>
    <row r="2303" spans="15:16" x14ac:dyDescent="0.2">
      <c r="O2303" s="38" t="s">
        <v>536</v>
      </c>
      <c r="P2303" s="47" t="s">
        <v>107</v>
      </c>
    </row>
    <row r="2304" spans="15:16" x14ac:dyDescent="0.2">
      <c r="O2304" s="37" t="s">
        <v>1803</v>
      </c>
      <c r="P2304" s="46" t="s">
        <v>107</v>
      </c>
    </row>
    <row r="2305" spans="15:16" x14ac:dyDescent="0.2">
      <c r="O2305" s="38" t="s">
        <v>813</v>
      </c>
      <c r="P2305" s="47" t="s">
        <v>107</v>
      </c>
    </row>
    <row r="2306" spans="15:16" x14ac:dyDescent="0.2">
      <c r="O2306" s="37" t="s">
        <v>441</v>
      </c>
      <c r="P2306" s="46" t="s">
        <v>107</v>
      </c>
    </row>
    <row r="2307" spans="15:16" x14ac:dyDescent="0.2">
      <c r="O2307" s="38" t="s">
        <v>814</v>
      </c>
      <c r="P2307" s="47" t="s">
        <v>107</v>
      </c>
    </row>
    <row r="2308" spans="15:16" x14ac:dyDescent="0.2">
      <c r="O2308" s="37" t="s">
        <v>1804</v>
      </c>
      <c r="P2308" s="46" t="s">
        <v>107</v>
      </c>
    </row>
    <row r="2309" spans="15:16" x14ac:dyDescent="0.2">
      <c r="O2309" s="38" t="s">
        <v>1582</v>
      </c>
      <c r="P2309" s="47" t="s">
        <v>107</v>
      </c>
    </row>
    <row r="2310" spans="15:16" x14ac:dyDescent="0.2">
      <c r="O2310" s="37" t="s">
        <v>1194</v>
      </c>
      <c r="P2310" s="46" t="s">
        <v>107</v>
      </c>
    </row>
    <row r="2311" spans="15:16" x14ac:dyDescent="0.2">
      <c r="O2311" s="38" t="s">
        <v>1214</v>
      </c>
      <c r="P2311" s="47" t="s">
        <v>105</v>
      </c>
    </row>
    <row r="2312" spans="15:16" x14ac:dyDescent="0.2">
      <c r="O2312" s="37" t="s">
        <v>659</v>
      </c>
      <c r="P2312" s="46" t="s">
        <v>105</v>
      </c>
    </row>
    <row r="2313" spans="15:16" x14ac:dyDescent="0.2">
      <c r="O2313" s="38" t="s">
        <v>1805</v>
      </c>
      <c r="P2313" s="47" t="s">
        <v>105</v>
      </c>
    </row>
    <row r="2314" spans="15:16" x14ac:dyDescent="0.2">
      <c r="O2314" s="37" t="s">
        <v>1806</v>
      </c>
      <c r="P2314" s="46" t="s">
        <v>105</v>
      </c>
    </row>
    <row r="2315" spans="15:16" x14ac:dyDescent="0.2">
      <c r="O2315" s="38" t="s">
        <v>441</v>
      </c>
      <c r="P2315" s="47" t="s">
        <v>105</v>
      </c>
    </row>
    <row r="2316" spans="15:16" x14ac:dyDescent="0.2">
      <c r="O2316" s="37" t="s">
        <v>1807</v>
      </c>
      <c r="P2316" s="46" t="s">
        <v>104</v>
      </c>
    </row>
    <row r="2317" spans="15:16" x14ac:dyDescent="0.2">
      <c r="O2317" s="38" t="s">
        <v>1808</v>
      </c>
      <c r="P2317" s="47" t="s">
        <v>104</v>
      </c>
    </row>
    <row r="2318" spans="15:16" x14ac:dyDescent="0.2">
      <c r="O2318" s="37" t="s">
        <v>1809</v>
      </c>
      <c r="P2318" s="46" t="s">
        <v>104</v>
      </c>
    </row>
    <row r="2319" spans="15:16" x14ac:dyDescent="0.2">
      <c r="O2319" s="38" t="s">
        <v>999</v>
      </c>
      <c r="P2319" s="47" t="s">
        <v>104</v>
      </c>
    </row>
    <row r="2320" spans="15:16" x14ac:dyDescent="0.2">
      <c r="O2320" s="37" t="s">
        <v>1810</v>
      </c>
      <c r="P2320" s="46" t="s">
        <v>104</v>
      </c>
    </row>
    <row r="2321" spans="15:16" x14ac:dyDescent="0.2">
      <c r="O2321" s="38" t="s">
        <v>1811</v>
      </c>
      <c r="P2321" s="47" t="s">
        <v>104</v>
      </c>
    </row>
    <row r="2322" spans="15:16" x14ac:dyDescent="0.2">
      <c r="O2322" s="37" t="s">
        <v>1589</v>
      </c>
      <c r="P2322" s="46" t="s">
        <v>104</v>
      </c>
    </row>
    <row r="2323" spans="15:16" x14ac:dyDescent="0.2">
      <c r="O2323" s="38" t="s">
        <v>1812</v>
      </c>
      <c r="P2323" s="47" t="s">
        <v>104</v>
      </c>
    </row>
    <row r="2324" spans="15:16" x14ac:dyDescent="0.2">
      <c r="O2324" s="37" t="s">
        <v>384</v>
      </c>
      <c r="P2324" s="46" t="s">
        <v>104</v>
      </c>
    </row>
    <row r="2325" spans="15:16" x14ac:dyDescent="0.2">
      <c r="O2325" s="38" t="s">
        <v>1813</v>
      </c>
      <c r="P2325" s="47" t="s">
        <v>104</v>
      </c>
    </row>
    <row r="2326" spans="15:16" x14ac:dyDescent="0.2">
      <c r="O2326" s="37" t="s">
        <v>386</v>
      </c>
      <c r="P2326" s="46" t="s">
        <v>104</v>
      </c>
    </row>
    <row r="2327" spans="15:16" x14ac:dyDescent="0.2">
      <c r="O2327" s="38" t="s">
        <v>1781</v>
      </c>
      <c r="P2327" s="47" t="s">
        <v>104</v>
      </c>
    </row>
    <row r="2328" spans="15:16" x14ac:dyDescent="0.2">
      <c r="O2328" s="37" t="s">
        <v>1814</v>
      </c>
      <c r="P2328" s="46" t="s">
        <v>104</v>
      </c>
    </row>
    <row r="2329" spans="15:16" x14ac:dyDescent="0.2">
      <c r="O2329" s="38" t="s">
        <v>1815</v>
      </c>
      <c r="P2329" s="47" t="s">
        <v>104</v>
      </c>
    </row>
    <row r="2330" spans="15:16" x14ac:dyDescent="0.2">
      <c r="O2330" s="37" t="s">
        <v>1816</v>
      </c>
      <c r="P2330" s="46" t="s">
        <v>104</v>
      </c>
    </row>
    <row r="2331" spans="15:16" x14ac:dyDescent="0.2">
      <c r="O2331" s="38" t="s">
        <v>1817</v>
      </c>
      <c r="P2331" s="47" t="s">
        <v>104</v>
      </c>
    </row>
    <row r="2332" spans="15:16" x14ac:dyDescent="0.2">
      <c r="O2332" s="37" t="s">
        <v>1818</v>
      </c>
      <c r="P2332" s="46" t="s">
        <v>104</v>
      </c>
    </row>
    <row r="2333" spans="15:16" x14ac:dyDescent="0.2">
      <c r="O2333" s="38" t="s">
        <v>1202</v>
      </c>
      <c r="P2333" s="47" t="s">
        <v>104</v>
      </c>
    </row>
    <row r="2334" spans="15:16" x14ac:dyDescent="0.2">
      <c r="O2334" s="37" t="s">
        <v>1819</v>
      </c>
      <c r="P2334" s="46" t="s">
        <v>104</v>
      </c>
    </row>
    <row r="2335" spans="15:16" x14ac:dyDescent="0.2">
      <c r="O2335" s="38" t="s">
        <v>651</v>
      </c>
      <c r="P2335" s="47" t="s">
        <v>104</v>
      </c>
    </row>
    <row r="2336" spans="15:16" x14ac:dyDescent="0.2">
      <c r="O2336" s="37" t="s">
        <v>1820</v>
      </c>
      <c r="P2336" s="46" t="s">
        <v>104</v>
      </c>
    </row>
    <row r="2337" spans="15:16" x14ac:dyDescent="0.2">
      <c r="O2337" s="38" t="s">
        <v>1821</v>
      </c>
      <c r="P2337" s="47" t="s">
        <v>104</v>
      </c>
    </row>
    <row r="2338" spans="15:16" x14ac:dyDescent="0.2">
      <c r="O2338" s="37" t="s">
        <v>1822</v>
      </c>
      <c r="P2338" s="46" t="s">
        <v>104</v>
      </c>
    </row>
    <row r="2339" spans="15:16" x14ac:dyDescent="0.2">
      <c r="O2339" s="38" t="s">
        <v>1019</v>
      </c>
      <c r="P2339" s="47" t="s">
        <v>104</v>
      </c>
    </row>
    <row r="2340" spans="15:16" x14ac:dyDescent="0.2">
      <c r="O2340" s="37" t="s">
        <v>1823</v>
      </c>
      <c r="P2340" s="46" t="s">
        <v>104</v>
      </c>
    </row>
    <row r="2341" spans="15:16" x14ac:dyDescent="0.2">
      <c r="O2341" s="38" t="s">
        <v>1824</v>
      </c>
      <c r="P2341" s="47" t="s">
        <v>104</v>
      </c>
    </row>
    <row r="2342" spans="15:16" x14ac:dyDescent="0.2">
      <c r="O2342" s="37" t="s">
        <v>770</v>
      </c>
      <c r="P2342" s="46" t="s">
        <v>104</v>
      </c>
    </row>
    <row r="2343" spans="15:16" x14ac:dyDescent="0.2">
      <c r="O2343" s="38" t="s">
        <v>1825</v>
      </c>
      <c r="P2343" s="47" t="s">
        <v>104</v>
      </c>
    </row>
    <row r="2344" spans="15:16" x14ac:dyDescent="0.2">
      <c r="O2344" s="37" t="s">
        <v>1485</v>
      </c>
      <c r="P2344" s="46" t="s">
        <v>104</v>
      </c>
    </row>
    <row r="2345" spans="15:16" x14ac:dyDescent="0.2">
      <c r="O2345" s="38" t="s">
        <v>775</v>
      </c>
      <c r="P2345" s="47" t="s">
        <v>104</v>
      </c>
    </row>
    <row r="2346" spans="15:16" x14ac:dyDescent="0.2">
      <c r="O2346" s="37" t="s">
        <v>417</v>
      </c>
      <c r="P2346" s="46" t="s">
        <v>104</v>
      </c>
    </row>
    <row r="2347" spans="15:16" x14ac:dyDescent="0.2">
      <c r="O2347" s="38" t="s">
        <v>1826</v>
      </c>
      <c r="P2347" s="47" t="s">
        <v>104</v>
      </c>
    </row>
    <row r="2348" spans="15:16" x14ac:dyDescent="0.2">
      <c r="O2348" s="37" t="s">
        <v>1827</v>
      </c>
      <c r="P2348" s="46" t="s">
        <v>104</v>
      </c>
    </row>
    <row r="2349" spans="15:16" x14ac:dyDescent="0.2">
      <c r="O2349" s="38" t="s">
        <v>423</v>
      </c>
      <c r="P2349" s="47" t="s">
        <v>104</v>
      </c>
    </row>
    <row r="2350" spans="15:16" x14ac:dyDescent="0.2">
      <c r="O2350" s="37" t="s">
        <v>1828</v>
      </c>
      <c r="P2350" s="46" t="s">
        <v>104</v>
      </c>
    </row>
    <row r="2351" spans="15:16" x14ac:dyDescent="0.2">
      <c r="O2351" s="38" t="s">
        <v>1829</v>
      </c>
      <c r="P2351" s="47" t="s">
        <v>104</v>
      </c>
    </row>
    <row r="2352" spans="15:16" x14ac:dyDescent="0.2">
      <c r="O2352" s="37" t="s">
        <v>784</v>
      </c>
      <c r="P2352" s="46" t="s">
        <v>104</v>
      </c>
    </row>
    <row r="2353" spans="15:16" x14ac:dyDescent="0.2">
      <c r="O2353" s="38" t="s">
        <v>1830</v>
      </c>
      <c r="P2353" s="47" t="s">
        <v>104</v>
      </c>
    </row>
    <row r="2354" spans="15:16" x14ac:dyDescent="0.2">
      <c r="O2354" s="37" t="s">
        <v>430</v>
      </c>
      <c r="P2354" s="46" t="s">
        <v>104</v>
      </c>
    </row>
    <row r="2355" spans="15:16" x14ac:dyDescent="0.2">
      <c r="O2355" s="38" t="s">
        <v>899</v>
      </c>
      <c r="P2355" s="47" t="s">
        <v>104</v>
      </c>
    </row>
    <row r="2356" spans="15:16" x14ac:dyDescent="0.2">
      <c r="O2356" s="37" t="s">
        <v>1831</v>
      </c>
      <c r="P2356" s="46" t="s">
        <v>104</v>
      </c>
    </row>
    <row r="2357" spans="15:16" x14ac:dyDescent="0.2">
      <c r="O2357" s="38" t="s">
        <v>1832</v>
      </c>
      <c r="P2357" s="47" t="s">
        <v>104</v>
      </c>
    </row>
    <row r="2358" spans="15:16" x14ac:dyDescent="0.2">
      <c r="O2358" s="37" t="s">
        <v>436</v>
      </c>
      <c r="P2358" s="46" t="s">
        <v>104</v>
      </c>
    </row>
    <row r="2359" spans="15:16" x14ac:dyDescent="0.2">
      <c r="O2359" s="38" t="s">
        <v>536</v>
      </c>
      <c r="P2359" s="47" t="s">
        <v>104</v>
      </c>
    </row>
    <row r="2360" spans="15:16" x14ac:dyDescent="0.2">
      <c r="O2360" s="37" t="s">
        <v>1833</v>
      </c>
      <c r="P2360" s="46" t="s">
        <v>104</v>
      </c>
    </row>
    <row r="2361" spans="15:16" x14ac:dyDescent="0.2">
      <c r="O2361" s="38" t="s">
        <v>1194</v>
      </c>
      <c r="P2361" s="47" t="s">
        <v>104</v>
      </c>
    </row>
    <row r="2362" spans="15:16" x14ac:dyDescent="0.2">
      <c r="O2362" s="37" t="s">
        <v>1834</v>
      </c>
      <c r="P2362" s="46" t="s">
        <v>103</v>
      </c>
    </row>
    <row r="2363" spans="15:16" x14ac:dyDescent="0.2">
      <c r="O2363" s="38" t="s">
        <v>1835</v>
      </c>
      <c r="P2363" s="47" t="s">
        <v>103</v>
      </c>
    </row>
    <row r="2364" spans="15:16" x14ac:dyDescent="0.2">
      <c r="O2364" s="37" t="s">
        <v>1836</v>
      </c>
      <c r="P2364" s="46" t="s">
        <v>103</v>
      </c>
    </row>
    <row r="2365" spans="15:16" x14ac:dyDescent="0.2">
      <c r="O2365" s="38" t="s">
        <v>1837</v>
      </c>
      <c r="P2365" s="47" t="s">
        <v>103</v>
      </c>
    </row>
    <row r="2366" spans="15:16" x14ac:dyDescent="0.2">
      <c r="O2366" s="37" t="s">
        <v>1838</v>
      </c>
      <c r="P2366" s="46" t="s">
        <v>103</v>
      </c>
    </row>
    <row r="2367" spans="15:16" x14ac:dyDescent="0.2">
      <c r="O2367" s="38" t="s">
        <v>861</v>
      </c>
      <c r="P2367" s="47" t="s">
        <v>103</v>
      </c>
    </row>
    <row r="2368" spans="15:16" x14ac:dyDescent="0.2">
      <c r="O2368" s="37" t="s">
        <v>1839</v>
      </c>
      <c r="P2368" s="46" t="s">
        <v>103</v>
      </c>
    </row>
    <row r="2369" spans="15:16" x14ac:dyDescent="0.2">
      <c r="O2369" s="38" t="s">
        <v>1464</v>
      </c>
      <c r="P2369" s="47" t="s">
        <v>103</v>
      </c>
    </row>
    <row r="2370" spans="15:16" x14ac:dyDescent="0.2">
      <c r="O2370" s="37" t="s">
        <v>544</v>
      </c>
      <c r="P2370" s="46" t="s">
        <v>103</v>
      </c>
    </row>
    <row r="2371" spans="15:16" x14ac:dyDescent="0.2">
      <c r="O2371" s="38" t="s">
        <v>1078</v>
      </c>
      <c r="P2371" s="47" t="s">
        <v>103</v>
      </c>
    </row>
    <row r="2372" spans="15:16" x14ac:dyDescent="0.2">
      <c r="O2372" s="37" t="s">
        <v>1840</v>
      </c>
      <c r="P2372" s="46" t="s">
        <v>103</v>
      </c>
    </row>
    <row r="2373" spans="15:16" x14ac:dyDescent="0.2">
      <c r="O2373" s="38" t="s">
        <v>492</v>
      </c>
      <c r="P2373" s="47" t="s">
        <v>103</v>
      </c>
    </row>
    <row r="2374" spans="15:16" x14ac:dyDescent="0.2">
      <c r="O2374" s="37" t="s">
        <v>390</v>
      </c>
      <c r="P2374" s="46" t="s">
        <v>103</v>
      </c>
    </row>
    <row r="2375" spans="15:16" x14ac:dyDescent="0.2">
      <c r="O2375" s="38" t="s">
        <v>1841</v>
      </c>
      <c r="P2375" s="47" t="s">
        <v>103</v>
      </c>
    </row>
    <row r="2376" spans="15:16" x14ac:dyDescent="0.2">
      <c r="O2376" s="37" t="s">
        <v>1842</v>
      </c>
      <c r="P2376" s="46" t="s">
        <v>103</v>
      </c>
    </row>
    <row r="2377" spans="15:16" x14ac:dyDescent="0.2">
      <c r="O2377" s="38" t="s">
        <v>610</v>
      </c>
      <c r="P2377" s="47" t="s">
        <v>103</v>
      </c>
    </row>
    <row r="2378" spans="15:16" x14ac:dyDescent="0.2">
      <c r="O2378" s="37" t="s">
        <v>1843</v>
      </c>
      <c r="P2378" s="46" t="s">
        <v>103</v>
      </c>
    </row>
    <row r="2379" spans="15:16" x14ac:dyDescent="0.2">
      <c r="O2379" s="38" t="s">
        <v>1844</v>
      </c>
      <c r="P2379" s="47" t="s">
        <v>103</v>
      </c>
    </row>
    <row r="2380" spans="15:16" x14ac:dyDescent="0.2">
      <c r="O2380" s="37" t="s">
        <v>1470</v>
      </c>
      <c r="P2380" s="46" t="s">
        <v>103</v>
      </c>
    </row>
    <row r="2381" spans="15:16" x14ac:dyDescent="0.2">
      <c r="O2381" s="38" t="s">
        <v>1725</v>
      </c>
      <c r="P2381" s="47" t="s">
        <v>103</v>
      </c>
    </row>
    <row r="2382" spans="15:16" x14ac:dyDescent="0.2">
      <c r="O2382" s="37" t="s">
        <v>614</v>
      </c>
      <c r="P2382" s="46" t="s">
        <v>103</v>
      </c>
    </row>
    <row r="2383" spans="15:16" x14ac:dyDescent="0.2">
      <c r="O2383" s="38" t="s">
        <v>1845</v>
      </c>
      <c r="P2383" s="47" t="s">
        <v>103</v>
      </c>
    </row>
    <row r="2384" spans="15:16" x14ac:dyDescent="0.2">
      <c r="O2384" s="37" t="s">
        <v>1846</v>
      </c>
      <c r="P2384" s="46" t="s">
        <v>103</v>
      </c>
    </row>
    <row r="2385" spans="15:16" x14ac:dyDescent="0.2">
      <c r="O2385" s="38" t="s">
        <v>1847</v>
      </c>
      <c r="P2385" s="47" t="s">
        <v>103</v>
      </c>
    </row>
    <row r="2386" spans="15:16" x14ac:dyDescent="0.2">
      <c r="O2386" s="37" t="s">
        <v>505</v>
      </c>
      <c r="P2386" s="46" t="s">
        <v>103</v>
      </c>
    </row>
    <row r="2387" spans="15:16" x14ac:dyDescent="0.2">
      <c r="O2387" s="38" t="s">
        <v>1848</v>
      </c>
      <c r="P2387" s="47" t="s">
        <v>103</v>
      </c>
    </row>
    <row r="2388" spans="15:16" x14ac:dyDescent="0.2">
      <c r="O2388" s="37" t="s">
        <v>1849</v>
      </c>
      <c r="P2388" s="46" t="s">
        <v>103</v>
      </c>
    </row>
    <row r="2389" spans="15:16" x14ac:dyDescent="0.2">
      <c r="O2389" s="38" t="s">
        <v>1850</v>
      </c>
      <c r="P2389" s="47" t="s">
        <v>103</v>
      </c>
    </row>
    <row r="2390" spans="15:16" x14ac:dyDescent="0.2">
      <c r="O2390" s="37" t="s">
        <v>1851</v>
      </c>
      <c r="P2390" s="46" t="s">
        <v>103</v>
      </c>
    </row>
    <row r="2391" spans="15:16" x14ac:dyDescent="0.2">
      <c r="O2391" s="38" t="s">
        <v>1852</v>
      </c>
      <c r="P2391" s="47" t="s">
        <v>103</v>
      </c>
    </row>
    <row r="2392" spans="15:16" x14ac:dyDescent="0.2">
      <c r="O2392" s="37" t="s">
        <v>1538</v>
      </c>
      <c r="P2392" s="46" t="s">
        <v>103</v>
      </c>
    </row>
    <row r="2393" spans="15:16" x14ac:dyDescent="0.2">
      <c r="O2393" s="38" t="s">
        <v>1729</v>
      </c>
      <c r="P2393" s="47" t="s">
        <v>103</v>
      </c>
    </row>
    <row r="2394" spans="15:16" x14ac:dyDescent="0.2">
      <c r="O2394" s="37" t="s">
        <v>1853</v>
      </c>
      <c r="P2394" s="46" t="s">
        <v>103</v>
      </c>
    </row>
    <row r="2395" spans="15:16" x14ac:dyDescent="0.2">
      <c r="O2395" s="38" t="s">
        <v>1617</v>
      </c>
      <c r="P2395" s="47" t="s">
        <v>103</v>
      </c>
    </row>
    <row r="2396" spans="15:16" x14ac:dyDescent="0.2">
      <c r="O2396" s="37" t="s">
        <v>412</v>
      </c>
      <c r="P2396" s="46" t="s">
        <v>103</v>
      </c>
    </row>
    <row r="2397" spans="15:16" x14ac:dyDescent="0.2">
      <c r="O2397" s="38" t="s">
        <v>1854</v>
      </c>
      <c r="P2397" s="47" t="s">
        <v>103</v>
      </c>
    </row>
    <row r="2398" spans="15:16" x14ac:dyDescent="0.2">
      <c r="O2398" s="37" t="s">
        <v>773</v>
      </c>
      <c r="P2398" s="46" t="s">
        <v>103</v>
      </c>
    </row>
    <row r="2399" spans="15:16" x14ac:dyDescent="0.2">
      <c r="O2399" s="38" t="s">
        <v>1855</v>
      </c>
      <c r="P2399" s="47" t="s">
        <v>103</v>
      </c>
    </row>
    <row r="2400" spans="15:16" x14ac:dyDescent="0.2">
      <c r="O2400" s="37" t="s">
        <v>557</v>
      </c>
      <c r="P2400" s="46" t="s">
        <v>103</v>
      </c>
    </row>
    <row r="2401" spans="15:16" x14ac:dyDescent="0.2">
      <c r="O2401" s="38" t="s">
        <v>416</v>
      </c>
      <c r="P2401" s="47" t="s">
        <v>103</v>
      </c>
    </row>
    <row r="2402" spans="15:16" x14ac:dyDescent="0.2">
      <c r="O2402" s="37" t="s">
        <v>513</v>
      </c>
      <c r="P2402" s="46" t="s">
        <v>103</v>
      </c>
    </row>
    <row r="2403" spans="15:16" x14ac:dyDescent="0.2">
      <c r="O2403" s="38" t="s">
        <v>1856</v>
      </c>
      <c r="P2403" s="47" t="s">
        <v>103</v>
      </c>
    </row>
    <row r="2404" spans="15:16" x14ac:dyDescent="0.2">
      <c r="O2404" s="37" t="s">
        <v>1857</v>
      </c>
      <c r="P2404" s="46" t="s">
        <v>103</v>
      </c>
    </row>
    <row r="2405" spans="15:16" x14ac:dyDescent="0.2">
      <c r="O2405" s="38" t="s">
        <v>1030</v>
      </c>
      <c r="P2405" s="47" t="s">
        <v>103</v>
      </c>
    </row>
    <row r="2406" spans="15:16" x14ac:dyDescent="0.2">
      <c r="O2406" s="37" t="s">
        <v>424</v>
      </c>
      <c r="P2406" s="46" t="s">
        <v>103</v>
      </c>
    </row>
    <row r="2407" spans="15:16" x14ac:dyDescent="0.2">
      <c r="O2407" s="38" t="s">
        <v>1031</v>
      </c>
      <c r="P2407" s="47" t="s">
        <v>103</v>
      </c>
    </row>
    <row r="2408" spans="15:16" x14ac:dyDescent="0.2">
      <c r="O2408" s="37" t="s">
        <v>1858</v>
      </c>
      <c r="P2408" s="46" t="s">
        <v>103</v>
      </c>
    </row>
    <row r="2409" spans="15:16" x14ac:dyDescent="0.2">
      <c r="O2409" s="38" t="s">
        <v>1859</v>
      </c>
      <c r="P2409" s="47" t="s">
        <v>103</v>
      </c>
    </row>
    <row r="2410" spans="15:16" x14ac:dyDescent="0.2">
      <c r="O2410" s="37" t="s">
        <v>1860</v>
      </c>
      <c r="P2410" s="46" t="s">
        <v>103</v>
      </c>
    </row>
    <row r="2411" spans="15:16" x14ac:dyDescent="0.2">
      <c r="O2411" s="38" t="s">
        <v>1861</v>
      </c>
      <c r="P2411" s="47" t="s">
        <v>103</v>
      </c>
    </row>
    <row r="2412" spans="15:16" x14ac:dyDescent="0.2">
      <c r="O2412" s="37" t="s">
        <v>1322</v>
      </c>
      <c r="P2412" s="46" t="s">
        <v>103</v>
      </c>
    </row>
    <row r="2413" spans="15:16" x14ac:dyDescent="0.2">
      <c r="O2413" s="38" t="s">
        <v>1492</v>
      </c>
      <c r="P2413" s="47" t="s">
        <v>103</v>
      </c>
    </row>
    <row r="2414" spans="15:16" x14ac:dyDescent="0.2">
      <c r="O2414" s="37" t="s">
        <v>1799</v>
      </c>
      <c r="P2414" s="46" t="s">
        <v>103</v>
      </c>
    </row>
    <row r="2415" spans="15:16" x14ac:dyDescent="0.2">
      <c r="O2415" s="38" t="s">
        <v>1862</v>
      </c>
      <c r="P2415" s="47" t="s">
        <v>103</v>
      </c>
    </row>
    <row r="2416" spans="15:16" x14ac:dyDescent="0.2">
      <c r="O2416" s="37" t="s">
        <v>1863</v>
      </c>
      <c r="P2416" s="46" t="s">
        <v>103</v>
      </c>
    </row>
    <row r="2417" spans="15:16" x14ac:dyDescent="0.2">
      <c r="O2417" s="38" t="s">
        <v>1417</v>
      </c>
      <c r="P2417" s="47" t="s">
        <v>103</v>
      </c>
    </row>
    <row r="2418" spans="15:16" x14ac:dyDescent="0.2">
      <c r="O2418" s="37" t="s">
        <v>1864</v>
      </c>
      <c r="P2418" s="46" t="s">
        <v>103</v>
      </c>
    </row>
    <row r="2419" spans="15:16" x14ac:dyDescent="0.2">
      <c r="O2419" s="38" t="s">
        <v>1865</v>
      </c>
      <c r="P2419" s="47" t="s">
        <v>103</v>
      </c>
    </row>
    <row r="2420" spans="15:16" x14ac:dyDescent="0.2">
      <c r="O2420" s="37" t="s">
        <v>1866</v>
      </c>
      <c r="P2420" s="46" t="s">
        <v>103</v>
      </c>
    </row>
    <row r="2421" spans="15:16" x14ac:dyDescent="0.2">
      <c r="O2421" s="38" t="s">
        <v>1117</v>
      </c>
      <c r="P2421" s="47" t="s">
        <v>103</v>
      </c>
    </row>
    <row r="2422" spans="15:16" x14ac:dyDescent="0.2">
      <c r="O2422" s="37" t="s">
        <v>1867</v>
      </c>
      <c r="P2422" s="46" t="s">
        <v>103</v>
      </c>
    </row>
    <row r="2423" spans="15:16" x14ac:dyDescent="0.2">
      <c r="O2423" s="38" t="s">
        <v>809</v>
      </c>
      <c r="P2423" s="47" t="s">
        <v>103</v>
      </c>
    </row>
    <row r="2424" spans="15:16" x14ac:dyDescent="0.2">
      <c r="O2424" s="37" t="s">
        <v>536</v>
      </c>
      <c r="P2424" s="46" t="s">
        <v>103</v>
      </c>
    </row>
    <row r="2425" spans="15:16" x14ac:dyDescent="0.2">
      <c r="O2425" s="38" t="s">
        <v>1868</v>
      </c>
      <c r="P2425" s="47" t="s">
        <v>103</v>
      </c>
    </row>
    <row r="2426" spans="15:16" x14ac:dyDescent="0.2">
      <c r="O2426" s="37" t="s">
        <v>1869</v>
      </c>
      <c r="P2426" s="46" t="s">
        <v>103</v>
      </c>
    </row>
    <row r="2427" spans="15:16" x14ac:dyDescent="0.2">
      <c r="O2427" s="38" t="s">
        <v>1870</v>
      </c>
      <c r="P2427" s="47" t="s">
        <v>103</v>
      </c>
    </row>
    <row r="2428" spans="15:16" x14ac:dyDescent="0.2">
      <c r="O2428" s="37" t="s">
        <v>999</v>
      </c>
      <c r="P2428" s="46" t="s">
        <v>102</v>
      </c>
    </row>
    <row r="2429" spans="15:16" x14ac:dyDescent="0.2">
      <c r="O2429" s="38" t="s">
        <v>1774</v>
      </c>
      <c r="P2429" s="47" t="s">
        <v>102</v>
      </c>
    </row>
    <row r="2430" spans="15:16" x14ac:dyDescent="0.2">
      <c r="O2430" s="37" t="s">
        <v>487</v>
      </c>
      <c r="P2430" s="46" t="s">
        <v>102</v>
      </c>
    </row>
    <row r="2431" spans="15:16" x14ac:dyDescent="0.2">
      <c r="O2431" s="38" t="s">
        <v>1871</v>
      </c>
      <c r="P2431" s="47" t="s">
        <v>102</v>
      </c>
    </row>
    <row r="2432" spans="15:16" x14ac:dyDescent="0.2">
      <c r="O2432" s="37" t="s">
        <v>381</v>
      </c>
      <c r="P2432" s="46" t="s">
        <v>102</v>
      </c>
    </row>
    <row r="2433" spans="15:16" x14ac:dyDescent="0.2">
      <c r="O2433" s="38" t="s">
        <v>489</v>
      </c>
      <c r="P2433" s="47" t="s">
        <v>102</v>
      </c>
    </row>
    <row r="2434" spans="15:16" x14ac:dyDescent="0.2">
      <c r="O2434" s="37" t="s">
        <v>1078</v>
      </c>
      <c r="P2434" s="46" t="s">
        <v>102</v>
      </c>
    </row>
    <row r="2435" spans="15:16" x14ac:dyDescent="0.2">
      <c r="O2435" s="38" t="s">
        <v>1872</v>
      </c>
      <c r="P2435" s="47" t="s">
        <v>102</v>
      </c>
    </row>
    <row r="2436" spans="15:16" x14ac:dyDescent="0.2">
      <c r="O2436" s="37" t="s">
        <v>490</v>
      </c>
      <c r="P2436" s="46" t="s">
        <v>102</v>
      </c>
    </row>
    <row r="2437" spans="15:16" x14ac:dyDescent="0.2">
      <c r="O2437" s="38" t="s">
        <v>1080</v>
      </c>
      <c r="P2437" s="47" t="s">
        <v>102</v>
      </c>
    </row>
    <row r="2438" spans="15:16" x14ac:dyDescent="0.2">
      <c r="O2438" s="37" t="s">
        <v>1873</v>
      </c>
      <c r="P2438" s="46" t="s">
        <v>102</v>
      </c>
    </row>
    <row r="2439" spans="15:16" x14ac:dyDescent="0.2">
      <c r="O2439" s="38" t="s">
        <v>1781</v>
      </c>
      <c r="P2439" s="47" t="s">
        <v>102</v>
      </c>
    </row>
    <row r="2440" spans="15:16" x14ac:dyDescent="0.2">
      <c r="O2440" s="37" t="s">
        <v>1349</v>
      </c>
      <c r="P2440" s="46" t="s">
        <v>102</v>
      </c>
    </row>
    <row r="2441" spans="15:16" x14ac:dyDescent="0.2">
      <c r="O2441" s="38" t="s">
        <v>390</v>
      </c>
      <c r="P2441" s="47" t="s">
        <v>102</v>
      </c>
    </row>
    <row r="2442" spans="15:16" x14ac:dyDescent="0.2">
      <c r="O2442" s="37" t="s">
        <v>1874</v>
      </c>
      <c r="P2442" s="46" t="s">
        <v>102</v>
      </c>
    </row>
    <row r="2443" spans="15:16" x14ac:dyDescent="0.2">
      <c r="O2443" s="38" t="s">
        <v>392</v>
      </c>
      <c r="P2443" s="47" t="s">
        <v>102</v>
      </c>
    </row>
    <row r="2444" spans="15:16" x14ac:dyDescent="0.2">
      <c r="O2444" s="37" t="s">
        <v>1875</v>
      </c>
      <c r="P2444" s="46" t="s">
        <v>102</v>
      </c>
    </row>
    <row r="2445" spans="15:16" x14ac:dyDescent="0.2">
      <c r="O2445" s="38" t="s">
        <v>868</v>
      </c>
      <c r="P2445" s="47" t="s">
        <v>102</v>
      </c>
    </row>
    <row r="2446" spans="15:16" x14ac:dyDescent="0.2">
      <c r="O2446" s="37" t="s">
        <v>1603</v>
      </c>
      <c r="P2446" s="46" t="s">
        <v>102</v>
      </c>
    </row>
    <row r="2447" spans="15:16" x14ac:dyDescent="0.2">
      <c r="O2447" s="38" t="s">
        <v>743</v>
      </c>
      <c r="P2447" s="47" t="s">
        <v>102</v>
      </c>
    </row>
    <row r="2448" spans="15:16" x14ac:dyDescent="0.2">
      <c r="O2448" s="37" t="s">
        <v>401</v>
      </c>
      <c r="P2448" s="46" t="s">
        <v>102</v>
      </c>
    </row>
    <row r="2449" spans="15:16" x14ac:dyDescent="0.2">
      <c r="O2449" s="38" t="s">
        <v>1876</v>
      </c>
      <c r="P2449" s="47" t="s">
        <v>102</v>
      </c>
    </row>
    <row r="2450" spans="15:16" x14ac:dyDescent="0.2">
      <c r="O2450" s="37" t="s">
        <v>1877</v>
      </c>
      <c r="P2450" s="46" t="s">
        <v>102</v>
      </c>
    </row>
    <row r="2451" spans="15:16" x14ac:dyDescent="0.2">
      <c r="O2451" s="38" t="s">
        <v>405</v>
      </c>
      <c r="P2451" s="47" t="s">
        <v>102</v>
      </c>
    </row>
    <row r="2452" spans="15:16" x14ac:dyDescent="0.2">
      <c r="O2452" s="37" t="s">
        <v>1878</v>
      </c>
      <c r="P2452" s="46" t="s">
        <v>102</v>
      </c>
    </row>
    <row r="2453" spans="15:16" x14ac:dyDescent="0.2">
      <c r="O2453" s="38" t="s">
        <v>406</v>
      </c>
      <c r="P2453" s="47" t="s">
        <v>102</v>
      </c>
    </row>
    <row r="2454" spans="15:16" x14ac:dyDescent="0.2">
      <c r="O2454" s="37" t="s">
        <v>922</v>
      </c>
      <c r="P2454" s="46" t="s">
        <v>102</v>
      </c>
    </row>
    <row r="2455" spans="15:16" x14ac:dyDescent="0.2">
      <c r="O2455" s="38" t="s">
        <v>1879</v>
      </c>
      <c r="P2455" s="47" t="s">
        <v>102</v>
      </c>
    </row>
    <row r="2456" spans="15:16" x14ac:dyDescent="0.2">
      <c r="O2456" s="37" t="s">
        <v>1880</v>
      </c>
      <c r="P2456" s="46" t="s">
        <v>102</v>
      </c>
    </row>
    <row r="2457" spans="15:16" x14ac:dyDescent="0.2">
      <c r="O2457" s="38" t="s">
        <v>408</v>
      </c>
      <c r="P2457" s="47" t="s">
        <v>102</v>
      </c>
    </row>
    <row r="2458" spans="15:16" x14ac:dyDescent="0.2">
      <c r="O2458" s="37" t="s">
        <v>875</v>
      </c>
      <c r="P2458" s="46" t="s">
        <v>102</v>
      </c>
    </row>
    <row r="2459" spans="15:16" x14ac:dyDescent="0.2">
      <c r="O2459" s="38" t="s">
        <v>1881</v>
      </c>
      <c r="P2459" s="47" t="s">
        <v>102</v>
      </c>
    </row>
    <row r="2460" spans="15:16" x14ac:dyDescent="0.2">
      <c r="O2460" s="37" t="s">
        <v>682</v>
      </c>
      <c r="P2460" s="46" t="s">
        <v>102</v>
      </c>
    </row>
    <row r="2461" spans="15:16" x14ac:dyDescent="0.2">
      <c r="O2461" s="38" t="s">
        <v>764</v>
      </c>
      <c r="P2461" s="47" t="s">
        <v>102</v>
      </c>
    </row>
    <row r="2462" spans="15:16" x14ac:dyDescent="0.2">
      <c r="O2462" s="37" t="s">
        <v>1882</v>
      </c>
      <c r="P2462" s="46" t="s">
        <v>102</v>
      </c>
    </row>
    <row r="2463" spans="15:16" x14ac:dyDescent="0.2">
      <c r="O2463" s="38" t="s">
        <v>876</v>
      </c>
      <c r="P2463" s="47" t="s">
        <v>102</v>
      </c>
    </row>
    <row r="2464" spans="15:16" x14ac:dyDescent="0.2">
      <c r="O2464" s="37" t="s">
        <v>1883</v>
      </c>
      <c r="P2464" s="46" t="s">
        <v>102</v>
      </c>
    </row>
    <row r="2465" spans="15:16" x14ac:dyDescent="0.2">
      <c r="O2465" s="38" t="s">
        <v>1614</v>
      </c>
      <c r="P2465" s="47" t="s">
        <v>102</v>
      </c>
    </row>
    <row r="2466" spans="15:16" x14ac:dyDescent="0.2">
      <c r="O2466" s="37" t="s">
        <v>877</v>
      </c>
      <c r="P2466" s="46" t="s">
        <v>102</v>
      </c>
    </row>
    <row r="2467" spans="15:16" x14ac:dyDescent="0.2">
      <c r="O2467" s="38" t="s">
        <v>410</v>
      </c>
      <c r="P2467" s="47" t="s">
        <v>102</v>
      </c>
    </row>
    <row r="2468" spans="15:16" x14ac:dyDescent="0.2">
      <c r="O2468" s="37" t="s">
        <v>1092</v>
      </c>
      <c r="P2468" s="46" t="s">
        <v>102</v>
      </c>
    </row>
    <row r="2469" spans="15:16" x14ac:dyDescent="0.2">
      <c r="O2469" s="38" t="s">
        <v>411</v>
      </c>
      <c r="P2469" s="47" t="s">
        <v>102</v>
      </c>
    </row>
    <row r="2470" spans="15:16" x14ac:dyDescent="0.2">
      <c r="O2470" s="37" t="s">
        <v>1357</v>
      </c>
      <c r="P2470" s="46" t="s">
        <v>102</v>
      </c>
    </row>
    <row r="2471" spans="15:16" x14ac:dyDescent="0.2">
      <c r="O2471" s="38" t="s">
        <v>412</v>
      </c>
      <c r="P2471" s="47" t="s">
        <v>102</v>
      </c>
    </row>
    <row r="2472" spans="15:16" x14ac:dyDescent="0.2">
      <c r="O2472" s="37" t="s">
        <v>413</v>
      </c>
      <c r="P2472" s="46" t="s">
        <v>102</v>
      </c>
    </row>
    <row r="2473" spans="15:16" x14ac:dyDescent="0.2">
      <c r="O2473" s="38" t="s">
        <v>511</v>
      </c>
      <c r="P2473" s="47" t="s">
        <v>102</v>
      </c>
    </row>
    <row r="2474" spans="15:16" x14ac:dyDescent="0.2">
      <c r="O2474" s="37" t="s">
        <v>884</v>
      </c>
      <c r="P2474" s="46" t="s">
        <v>102</v>
      </c>
    </row>
    <row r="2475" spans="15:16" x14ac:dyDescent="0.2">
      <c r="O2475" s="38" t="s">
        <v>557</v>
      </c>
      <c r="P2475" s="47" t="s">
        <v>102</v>
      </c>
    </row>
    <row r="2476" spans="15:16" x14ac:dyDescent="0.2">
      <c r="O2476" s="37" t="s">
        <v>415</v>
      </c>
      <c r="P2476" s="46" t="s">
        <v>102</v>
      </c>
    </row>
    <row r="2477" spans="15:16" x14ac:dyDescent="0.2">
      <c r="O2477" s="38" t="s">
        <v>416</v>
      </c>
      <c r="P2477" s="47" t="s">
        <v>102</v>
      </c>
    </row>
    <row r="2478" spans="15:16" x14ac:dyDescent="0.2">
      <c r="O2478" s="37" t="s">
        <v>848</v>
      </c>
      <c r="P2478" s="46" t="s">
        <v>102</v>
      </c>
    </row>
    <row r="2479" spans="15:16" x14ac:dyDescent="0.2">
      <c r="O2479" s="38" t="s">
        <v>513</v>
      </c>
      <c r="P2479" s="47" t="s">
        <v>102</v>
      </c>
    </row>
    <row r="2480" spans="15:16" x14ac:dyDescent="0.2">
      <c r="O2480" s="37" t="s">
        <v>1884</v>
      </c>
      <c r="P2480" s="46" t="s">
        <v>102</v>
      </c>
    </row>
    <row r="2481" spans="15:16" x14ac:dyDescent="0.2">
      <c r="O2481" s="38" t="s">
        <v>1885</v>
      </c>
      <c r="P2481" s="47" t="s">
        <v>102</v>
      </c>
    </row>
    <row r="2482" spans="15:16" x14ac:dyDescent="0.2">
      <c r="O2482" s="37" t="s">
        <v>1886</v>
      </c>
      <c r="P2482" s="46" t="s">
        <v>102</v>
      </c>
    </row>
    <row r="2483" spans="15:16" x14ac:dyDescent="0.2">
      <c r="O2483" s="38" t="s">
        <v>420</v>
      </c>
      <c r="P2483" s="47" t="s">
        <v>102</v>
      </c>
    </row>
    <row r="2484" spans="15:16" x14ac:dyDescent="0.2">
      <c r="O2484" s="37" t="s">
        <v>421</v>
      </c>
      <c r="P2484" s="46" t="s">
        <v>102</v>
      </c>
    </row>
    <row r="2485" spans="15:16" x14ac:dyDescent="0.2">
      <c r="O2485" s="38" t="s">
        <v>423</v>
      </c>
      <c r="P2485" s="47" t="s">
        <v>102</v>
      </c>
    </row>
    <row r="2486" spans="15:16" x14ac:dyDescent="0.2">
      <c r="O2486" s="37" t="s">
        <v>424</v>
      </c>
      <c r="P2486" s="46" t="s">
        <v>102</v>
      </c>
    </row>
    <row r="2487" spans="15:16" x14ac:dyDescent="0.2">
      <c r="O2487" s="38" t="s">
        <v>1887</v>
      </c>
      <c r="P2487" s="47" t="s">
        <v>102</v>
      </c>
    </row>
    <row r="2488" spans="15:16" x14ac:dyDescent="0.2">
      <c r="O2488" s="37" t="s">
        <v>1699</v>
      </c>
      <c r="P2488" s="46" t="s">
        <v>102</v>
      </c>
    </row>
    <row r="2489" spans="15:16" x14ac:dyDescent="0.2">
      <c r="O2489" s="38" t="s">
        <v>426</v>
      </c>
      <c r="P2489" s="47" t="s">
        <v>102</v>
      </c>
    </row>
    <row r="2490" spans="15:16" x14ac:dyDescent="0.2">
      <c r="O2490" s="37" t="s">
        <v>427</v>
      </c>
      <c r="P2490" s="46" t="s">
        <v>102</v>
      </c>
    </row>
    <row r="2491" spans="15:16" x14ac:dyDescent="0.2">
      <c r="O2491" s="38" t="s">
        <v>1623</v>
      </c>
      <c r="P2491" s="47" t="s">
        <v>102</v>
      </c>
    </row>
    <row r="2492" spans="15:16" x14ac:dyDescent="0.2">
      <c r="O2492" s="37" t="s">
        <v>428</v>
      </c>
      <c r="P2492" s="46" t="s">
        <v>102</v>
      </c>
    </row>
    <row r="2493" spans="15:16" x14ac:dyDescent="0.2">
      <c r="O2493" s="38" t="s">
        <v>1888</v>
      </c>
      <c r="P2493" s="47" t="s">
        <v>102</v>
      </c>
    </row>
    <row r="2494" spans="15:16" x14ac:dyDescent="0.2">
      <c r="O2494" s="37" t="s">
        <v>1889</v>
      </c>
      <c r="P2494" s="46" t="s">
        <v>102</v>
      </c>
    </row>
    <row r="2495" spans="15:16" x14ac:dyDescent="0.2">
      <c r="O2495" s="38" t="s">
        <v>429</v>
      </c>
      <c r="P2495" s="47" t="s">
        <v>102</v>
      </c>
    </row>
    <row r="2496" spans="15:16" x14ac:dyDescent="0.2">
      <c r="O2496" s="37" t="s">
        <v>1890</v>
      </c>
      <c r="P2496" s="46" t="s">
        <v>102</v>
      </c>
    </row>
    <row r="2497" spans="15:16" x14ac:dyDescent="0.2">
      <c r="O2497" s="38" t="s">
        <v>524</v>
      </c>
      <c r="P2497" s="47" t="s">
        <v>102</v>
      </c>
    </row>
    <row r="2498" spans="15:16" x14ac:dyDescent="0.2">
      <c r="O2498" s="37" t="s">
        <v>702</v>
      </c>
      <c r="P2498" s="46" t="s">
        <v>102</v>
      </c>
    </row>
    <row r="2499" spans="15:16" x14ac:dyDescent="0.2">
      <c r="O2499" s="38" t="s">
        <v>1891</v>
      </c>
      <c r="P2499" s="47" t="s">
        <v>102</v>
      </c>
    </row>
    <row r="2500" spans="15:16" x14ac:dyDescent="0.2">
      <c r="O2500" s="37" t="s">
        <v>1892</v>
      </c>
      <c r="P2500" s="46" t="s">
        <v>102</v>
      </c>
    </row>
    <row r="2501" spans="15:16" x14ac:dyDescent="0.2">
      <c r="O2501" s="38" t="s">
        <v>1113</v>
      </c>
      <c r="P2501" s="47" t="s">
        <v>102</v>
      </c>
    </row>
    <row r="2502" spans="15:16" x14ac:dyDescent="0.2">
      <c r="O2502" s="37" t="s">
        <v>1635</v>
      </c>
      <c r="P2502" s="46" t="s">
        <v>102</v>
      </c>
    </row>
    <row r="2503" spans="15:16" x14ac:dyDescent="0.2">
      <c r="O2503" s="38" t="s">
        <v>530</v>
      </c>
      <c r="P2503" s="47" t="s">
        <v>102</v>
      </c>
    </row>
    <row r="2504" spans="15:16" x14ac:dyDescent="0.2">
      <c r="O2504" s="37" t="s">
        <v>1893</v>
      </c>
      <c r="P2504" s="46" t="s">
        <v>102</v>
      </c>
    </row>
    <row r="2505" spans="15:16" x14ac:dyDescent="0.2">
      <c r="O2505" s="38" t="s">
        <v>533</v>
      </c>
      <c r="P2505" s="47" t="s">
        <v>102</v>
      </c>
    </row>
    <row r="2506" spans="15:16" x14ac:dyDescent="0.2">
      <c r="O2506" s="37" t="s">
        <v>435</v>
      </c>
      <c r="P2506" s="46" t="s">
        <v>102</v>
      </c>
    </row>
    <row r="2507" spans="15:16" x14ac:dyDescent="0.2">
      <c r="O2507" s="38" t="s">
        <v>1054</v>
      </c>
      <c r="P2507" s="47" t="s">
        <v>102</v>
      </c>
    </row>
    <row r="2508" spans="15:16" x14ac:dyDescent="0.2">
      <c r="O2508" s="37" t="s">
        <v>797</v>
      </c>
      <c r="P2508" s="46" t="s">
        <v>102</v>
      </c>
    </row>
    <row r="2509" spans="15:16" x14ac:dyDescent="0.2">
      <c r="O2509" s="38" t="s">
        <v>944</v>
      </c>
      <c r="P2509" s="47" t="s">
        <v>102</v>
      </c>
    </row>
    <row r="2510" spans="15:16" x14ac:dyDescent="0.2">
      <c r="O2510" s="37" t="s">
        <v>1058</v>
      </c>
      <c r="P2510" s="46" t="s">
        <v>102</v>
      </c>
    </row>
    <row r="2511" spans="15:16" x14ac:dyDescent="0.2">
      <c r="O2511" s="38" t="s">
        <v>947</v>
      </c>
      <c r="P2511" s="47" t="s">
        <v>102</v>
      </c>
    </row>
    <row r="2512" spans="15:16" x14ac:dyDescent="0.2">
      <c r="O2512" s="37" t="s">
        <v>1894</v>
      </c>
      <c r="P2512" s="46" t="s">
        <v>102</v>
      </c>
    </row>
    <row r="2513" spans="15:16" x14ac:dyDescent="0.2">
      <c r="O2513" s="38" t="s">
        <v>1895</v>
      </c>
      <c r="P2513" s="47" t="s">
        <v>102</v>
      </c>
    </row>
    <row r="2514" spans="15:16" x14ac:dyDescent="0.2">
      <c r="O2514" s="37" t="s">
        <v>536</v>
      </c>
      <c r="P2514" s="46" t="s">
        <v>102</v>
      </c>
    </row>
    <row r="2515" spans="15:16" x14ac:dyDescent="0.2">
      <c r="O2515" s="38" t="s">
        <v>537</v>
      </c>
      <c r="P2515" s="47" t="s">
        <v>102</v>
      </c>
    </row>
    <row r="2516" spans="15:16" x14ac:dyDescent="0.2">
      <c r="O2516" s="37" t="s">
        <v>813</v>
      </c>
      <c r="P2516" s="46" t="s">
        <v>102</v>
      </c>
    </row>
    <row r="2517" spans="15:16" x14ac:dyDescent="0.2">
      <c r="O2517" s="38" t="s">
        <v>441</v>
      </c>
      <c r="P2517" s="47" t="s">
        <v>102</v>
      </c>
    </row>
    <row r="2518" spans="15:16" x14ac:dyDescent="0.2">
      <c r="O2518" s="37" t="s">
        <v>814</v>
      </c>
      <c r="P2518" s="46" t="s">
        <v>102</v>
      </c>
    </row>
    <row r="2519" spans="15:16" x14ac:dyDescent="0.2">
      <c r="O2519" s="38" t="s">
        <v>1896</v>
      </c>
      <c r="P2519" s="47" t="s">
        <v>102</v>
      </c>
    </row>
    <row r="2520" spans="15:16" x14ac:dyDescent="0.2">
      <c r="O2520" s="37" t="s">
        <v>538</v>
      </c>
      <c r="P2520" s="46" t="s">
        <v>102</v>
      </c>
    </row>
    <row r="2521" spans="15:16" x14ac:dyDescent="0.2">
      <c r="O2521" s="38" t="s">
        <v>910</v>
      </c>
      <c r="P2521" s="47" t="s">
        <v>102</v>
      </c>
    </row>
    <row r="2522" spans="15:16" x14ac:dyDescent="0.2">
      <c r="O2522" s="37" t="s">
        <v>1063</v>
      </c>
      <c r="P2522" s="46" t="s">
        <v>102</v>
      </c>
    </row>
    <row r="2523" spans="15:16" x14ac:dyDescent="0.2">
      <c r="O2523" s="38" t="s">
        <v>999</v>
      </c>
      <c r="P2523" s="47" t="s">
        <v>101</v>
      </c>
    </row>
    <row r="2524" spans="15:16" x14ac:dyDescent="0.2">
      <c r="O2524" s="37" t="s">
        <v>1897</v>
      </c>
      <c r="P2524" s="46" t="s">
        <v>101</v>
      </c>
    </row>
    <row r="2525" spans="15:16" x14ac:dyDescent="0.2">
      <c r="O2525" s="38" t="s">
        <v>1898</v>
      </c>
      <c r="P2525" s="47" t="s">
        <v>101</v>
      </c>
    </row>
    <row r="2526" spans="15:16" x14ac:dyDescent="0.2">
      <c r="O2526" s="37" t="s">
        <v>1899</v>
      </c>
      <c r="P2526" s="46" t="s">
        <v>101</v>
      </c>
    </row>
    <row r="2527" spans="15:16" x14ac:dyDescent="0.2">
      <c r="O2527" s="38" t="s">
        <v>1900</v>
      </c>
      <c r="P2527" s="47" t="s">
        <v>101</v>
      </c>
    </row>
    <row r="2528" spans="15:16" x14ac:dyDescent="0.2">
      <c r="O2528" s="37" t="s">
        <v>1773</v>
      </c>
      <c r="P2528" s="46" t="s">
        <v>101</v>
      </c>
    </row>
    <row r="2529" spans="15:16" x14ac:dyDescent="0.2">
      <c r="O2529" s="38" t="s">
        <v>1901</v>
      </c>
      <c r="P2529" s="47" t="s">
        <v>101</v>
      </c>
    </row>
    <row r="2530" spans="15:16" x14ac:dyDescent="0.2">
      <c r="O2530" s="37" t="s">
        <v>1902</v>
      </c>
      <c r="P2530" s="46" t="s">
        <v>101</v>
      </c>
    </row>
    <row r="2531" spans="15:16" x14ac:dyDescent="0.2">
      <c r="O2531" s="38" t="s">
        <v>1903</v>
      </c>
      <c r="P2531" s="47" t="s">
        <v>101</v>
      </c>
    </row>
    <row r="2532" spans="15:16" x14ac:dyDescent="0.2">
      <c r="O2532" s="37" t="s">
        <v>1904</v>
      </c>
      <c r="P2532" s="46" t="s">
        <v>101</v>
      </c>
    </row>
    <row r="2533" spans="15:16" x14ac:dyDescent="0.2">
      <c r="O2533" s="38" t="s">
        <v>1905</v>
      </c>
      <c r="P2533" s="47" t="s">
        <v>101</v>
      </c>
    </row>
    <row r="2534" spans="15:16" x14ac:dyDescent="0.2">
      <c r="O2534" s="37" t="s">
        <v>1906</v>
      </c>
      <c r="P2534" s="46" t="s">
        <v>101</v>
      </c>
    </row>
    <row r="2535" spans="15:16" x14ac:dyDescent="0.2">
      <c r="O2535" s="38" t="s">
        <v>1907</v>
      </c>
      <c r="P2535" s="47" t="s">
        <v>101</v>
      </c>
    </row>
    <row r="2536" spans="15:16" x14ac:dyDescent="0.2">
      <c r="O2536" s="37" t="s">
        <v>1069</v>
      </c>
      <c r="P2536" s="46" t="s">
        <v>101</v>
      </c>
    </row>
    <row r="2537" spans="15:16" x14ac:dyDescent="0.2">
      <c r="O2537" s="38" t="s">
        <v>1908</v>
      </c>
      <c r="P2537" s="47" t="s">
        <v>101</v>
      </c>
    </row>
    <row r="2538" spans="15:16" x14ac:dyDescent="0.2">
      <c r="O2538" s="37" t="s">
        <v>1909</v>
      </c>
      <c r="P2538" s="46" t="s">
        <v>101</v>
      </c>
    </row>
    <row r="2539" spans="15:16" x14ac:dyDescent="0.2">
      <c r="O2539" s="38" t="s">
        <v>1910</v>
      </c>
      <c r="P2539" s="47" t="s">
        <v>101</v>
      </c>
    </row>
    <row r="2540" spans="15:16" x14ac:dyDescent="0.2">
      <c r="O2540" s="37" t="s">
        <v>1911</v>
      </c>
      <c r="P2540" s="46" t="s">
        <v>101</v>
      </c>
    </row>
    <row r="2541" spans="15:16" x14ac:dyDescent="0.2">
      <c r="O2541" s="38" t="s">
        <v>1912</v>
      </c>
      <c r="P2541" s="47" t="s">
        <v>101</v>
      </c>
    </row>
    <row r="2542" spans="15:16" x14ac:dyDescent="0.2">
      <c r="O2542" s="37" t="s">
        <v>1913</v>
      </c>
      <c r="P2542" s="46" t="s">
        <v>101</v>
      </c>
    </row>
    <row r="2543" spans="15:16" x14ac:dyDescent="0.2">
      <c r="O2543" s="38" t="s">
        <v>1914</v>
      </c>
      <c r="P2543" s="47" t="s">
        <v>101</v>
      </c>
    </row>
    <row r="2544" spans="15:16" x14ac:dyDescent="0.2">
      <c r="O2544" s="37" t="s">
        <v>1915</v>
      </c>
      <c r="P2544" s="46" t="s">
        <v>101</v>
      </c>
    </row>
    <row r="2545" spans="15:16" x14ac:dyDescent="0.2">
      <c r="O2545" s="38" t="s">
        <v>1916</v>
      </c>
      <c r="P2545" s="47" t="s">
        <v>101</v>
      </c>
    </row>
    <row r="2546" spans="15:16" x14ac:dyDescent="0.2">
      <c r="O2546" s="37" t="s">
        <v>723</v>
      </c>
      <c r="P2546" s="46" t="s">
        <v>101</v>
      </c>
    </row>
    <row r="2547" spans="15:16" x14ac:dyDescent="0.2">
      <c r="O2547" s="38" t="s">
        <v>861</v>
      </c>
      <c r="P2547" s="47" t="s">
        <v>101</v>
      </c>
    </row>
    <row r="2548" spans="15:16" x14ac:dyDescent="0.2">
      <c r="O2548" s="37" t="s">
        <v>1917</v>
      </c>
      <c r="P2548" s="46" t="s">
        <v>101</v>
      </c>
    </row>
    <row r="2549" spans="15:16" x14ac:dyDescent="0.2">
      <c r="O2549" s="38" t="s">
        <v>1918</v>
      </c>
      <c r="P2549" s="47" t="s">
        <v>101</v>
      </c>
    </row>
    <row r="2550" spans="15:16" x14ac:dyDescent="0.2">
      <c r="O2550" s="37" t="s">
        <v>1076</v>
      </c>
      <c r="P2550" s="46" t="s">
        <v>101</v>
      </c>
    </row>
    <row r="2551" spans="15:16" x14ac:dyDescent="0.2">
      <c r="O2551" s="38" t="s">
        <v>384</v>
      </c>
      <c r="P2551" s="47" t="s">
        <v>101</v>
      </c>
    </row>
    <row r="2552" spans="15:16" x14ac:dyDescent="0.2">
      <c r="O2552" s="37" t="s">
        <v>1919</v>
      </c>
      <c r="P2552" s="46" t="s">
        <v>101</v>
      </c>
    </row>
    <row r="2553" spans="15:16" x14ac:dyDescent="0.2">
      <c r="O2553" s="38" t="s">
        <v>1779</v>
      </c>
      <c r="P2553" s="47" t="s">
        <v>101</v>
      </c>
    </row>
    <row r="2554" spans="15:16" x14ac:dyDescent="0.2">
      <c r="O2554" s="37" t="s">
        <v>1920</v>
      </c>
      <c r="P2554" s="46" t="s">
        <v>101</v>
      </c>
    </row>
    <row r="2555" spans="15:16" x14ac:dyDescent="0.2">
      <c r="O2555" s="38" t="s">
        <v>1921</v>
      </c>
      <c r="P2555" s="47" t="s">
        <v>101</v>
      </c>
    </row>
    <row r="2556" spans="15:16" x14ac:dyDescent="0.2">
      <c r="O2556" s="37" t="s">
        <v>863</v>
      </c>
      <c r="P2556" s="46" t="s">
        <v>101</v>
      </c>
    </row>
    <row r="2557" spans="15:16" x14ac:dyDescent="0.2">
      <c r="O2557" s="38" t="s">
        <v>1922</v>
      </c>
      <c r="P2557" s="47" t="s">
        <v>101</v>
      </c>
    </row>
    <row r="2558" spans="15:16" x14ac:dyDescent="0.2">
      <c r="O2558" s="37" t="s">
        <v>385</v>
      </c>
      <c r="P2558" s="46" t="s">
        <v>101</v>
      </c>
    </row>
    <row r="2559" spans="15:16" x14ac:dyDescent="0.2">
      <c r="O2559" s="38" t="s">
        <v>386</v>
      </c>
      <c r="P2559" s="47" t="s">
        <v>101</v>
      </c>
    </row>
    <row r="2560" spans="15:16" x14ac:dyDescent="0.2">
      <c r="O2560" s="37" t="s">
        <v>1923</v>
      </c>
      <c r="P2560" s="46" t="s">
        <v>101</v>
      </c>
    </row>
    <row r="2561" spans="15:16" x14ac:dyDescent="0.2">
      <c r="O2561" s="38" t="s">
        <v>390</v>
      </c>
      <c r="P2561" s="47" t="s">
        <v>101</v>
      </c>
    </row>
    <row r="2562" spans="15:16" x14ac:dyDescent="0.2">
      <c r="O2562" s="37" t="s">
        <v>1924</v>
      </c>
      <c r="P2562" s="46" t="s">
        <v>101</v>
      </c>
    </row>
    <row r="2563" spans="15:16" x14ac:dyDescent="0.2">
      <c r="O2563" s="38" t="s">
        <v>1925</v>
      </c>
      <c r="P2563" s="47" t="s">
        <v>101</v>
      </c>
    </row>
    <row r="2564" spans="15:16" x14ac:dyDescent="0.2">
      <c r="O2564" s="37" t="s">
        <v>1926</v>
      </c>
      <c r="P2564" s="46" t="s">
        <v>101</v>
      </c>
    </row>
    <row r="2565" spans="15:16" x14ac:dyDescent="0.2">
      <c r="O2565" s="38" t="s">
        <v>1927</v>
      </c>
      <c r="P2565" s="47" t="s">
        <v>101</v>
      </c>
    </row>
    <row r="2566" spans="15:16" x14ac:dyDescent="0.2">
      <c r="O2566" s="37" t="s">
        <v>1928</v>
      </c>
      <c r="P2566" s="46" t="s">
        <v>101</v>
      </c>
    </row>
    <row r="2567" spans="15:16" x14ac:dyDescent="0.2">
      <c r="O2567" s="38" t="s">
        <v>1929</v>
      </c>
      <c r="P2567" s="47" t="s">
        <v>101</v>
      </c>
    </row>
    <row r="2568" spans="15:16" x14ac:dyDescent="0.2">
      <c r="O2568" s="37" t="s">
        <v>1930</v>
      </c>
      <c r="P2568" s="46" t="s">
        <v>101</v>
      </c>
    </row>
    <row r="2569" spans="15:16" x14ac:dyDescent="0.2">
      <c r="O2569" s="38" t="s">
        <v>1008</v>
      </c>
      <c r="P2569" s="47" t="s">
        <v>101</v>
      </c>
    </row>
    <row r="2570" spans="15:16" x14ac:dyDescent="0.2">
      <c r="O2570" s="37" t="s">
        <v>1931</v>
      </c>
      <c r="P2570" s="46" t="s">
        <v>101</v>
      </c>
    </row>
    <row r="2571" spans="15:16" x14ac:dyDescent="0.2">
      <c r="O2571" s="38" t="s">
        <v>1932</v>
      </c>
      <c r="P2571" s="47" t="s">
        <v>101</v>
      </c>
    </row>
    <row r="2572" spans="15:16" x14ac:dyDescent="0.2">
      <c r="O2572" s="37" t="s">
        <v>1933</v>
      </c>
      <c r="P2572" s="46" t="s">
        <v>101</v>
      </c>
    </row>
    <row r="2573" spans="15:16" x14ac:dyDescent="0.2">
      <c r="O2573" s="38" t="s">
        <v>1934</v>
      </c>
      <c r="P2573" s="47" t="s">
        <v>101</v>
      </c>
    </row>
    <row r="2574" spans="15:16" x14ac:dyDescent="0.2">
      <c r="O2574" s="37" t="s">
        <v>1935</v>
      </c>
      <c r="P2574" s="46" t="s">
        <v>101</v>
      </c>
    </row>
    <row r="2575" spans="15:16" x14ac:dyDescent="0.2">
      <c r="O2575" s="38" t="s">
        <v>1875</v>
      </c>
      <c r="P2575" s="47" t="s">
        <v>101</v>
      </c>
    </row>
    <row r="2576" spans="15:16" x14ac:dyDescent="0.2">
      <c r="O2576" s="37" t="s">
        <v>1936</v>
      </c>
      <c r="P2576" s="46" t="s">
        <v>101</v>
      </c>
    </row>
    <row r="2577" spans="15:16" x14ac:dyDescent="0.2">
      <c r="O2577" s="38" t="s">
        <v>1937</v>
      </c>
      <c r="P2577" s="47" t="s">
        <v>101</v>
      </c>
    </row>
    <row r="2578" spans="15:16" x14ac:dyDescent="0.2">
      <c r="O2578" s="37" t="s">
        <v>1938</v>
      </c>
      <c r="P2578" s="46" t="s">
        <v>101</v>
      </c>
    </row>
    <row r="2579" spans="15:16" x14ac:dyDescent="0.2">
      <c r="O2579" s="38" t="s">
        <v>400</v>
      </c>
      <c r="P2579" s="47" t="s">
        <v>101</v>
      </c>
    </row>
    <row r="2580" spans="15:16" x14ac:dyDescent="0.2">
      <c r="O2580" s="37" t="s">
        <v>742</v>
      </c>
      <c r="P2580" s="46" t="s">
        <v>101</v>
      </c>
    </row>
    <row r="2581" spans="15:16" x14ac:dyDescent="0.2">
      <c r="O2581" s="38" t="s">
        <v>1939</v>
      </c>
      <c r="P2581" s="47" t="s">
        <v>101</v>
      </c>
    </row>
    <row r="2582" spans="15:16" x14ac:dyDescent="0.2">
      <c r="O2582" s="37" t="s">
        <v>611</v>
      </c>
      <c r="P2582" s="46" t="s">
        <v>101</v>
      </c>
    </row>
    <row r="2583" spans="15:16" x14ac:dyDescent="0.2">
      <c r="O2583" s="38" t="s">
        <v>1940</v>
      </c>
      <c r="P2583" s="47" t="s">
        <v>101</v>
      </c>
    </row>
    <row r="2584" spans="15:16" x14ac:dyDescent="0.2">
      <c r="O2584" s="37" t="s">
        <v>1941</v>
      </c>
      <c r="P2584" s="46" t="s">
        <v>101</v>
      </c>
    </row>
    <row r="2585" spans="15:16" x14ac:dyDescent="0.2">
      <c r="O2585" s="38" t="s">
        <v>1942</v>
      </c>
      <c r="P2585" s="47" t="s">
        <v>101</v>
      </c>
    </row>
    <row r="2586" spans="15:16" x14ac:dyDescent="0.2">
      <c r="O2586" s="37" t="s">
        <v>1943</v>
      </c>
      <c r="P2586" s="46" t="s">
        <v>101</v>
      </c>
    </row>
    <row r="2587" spans="15:16" x14ac:dyDescent="0.2">
      <c r="O2587" s="38" t="s">
        <v>1944</v>
      </c>
      <c r="P2587" s="47" t="s">
        <v>101</v>
      </c>
    </row>
    <row r="2588" spans="15:16" x14ac:dyDescent="0.2">
      <c r="O2588" s="37" t="s">
        <v>676</v>
      </c>
      <c r="P2588" s="46" t="s">
        <v>101</v>
      </c>
    </row>
    <row r="2589" spans="15:16" x14ac:dyDescent="0.2">
      <c r="O2589" s="38" t="s">
        <v>1945</v>
      </c>
      <c r="P2589" s="47" t="s">
        <v>101</v>
      </c>
    </row>
    <row r="2590" spans="15:16" x14ac:dyDescent="0.2">
      <c r="O2590" s="37" t="s">
        <v>1946</v>
      </c>
      <c r="P2590" s="46" t="s">
        <v>101</v>
      </c>
    </row>
    <row r="2591" spans="15:16" x14ac:dyDescent="0.2">
      <c r="O2591" s="38" t="s">
        <v>872</v>
      </c>
      <c r="P2591" s="47" t="s">
        <v>101</v>
      </c>
    </row>
    <row r="2592" spans="15:16" x14ac:dyDescent="0.2">
      <c r="O2592" s="37" t="s">
        <v>1012</v>
      </c>
      <c r="P2592" s="46" t="s">
        <v>101</v>
      </c>
    </row>
    <row r="2593" spans="15:16" x14ac:dyDescent="0.2">
      <c r="O2593" s="38" t="s">
        <v>617</v>
      </c>
      <c r="P2593" s="47" t="s">
        <v>101</v>
      </c>
    </row>
    <row r="2594" spans="15:16" x14ac:dyDescent="0.2">
      <c r="O2594" s="37" t="s">
        <v>1947</v>
      </c>
      <c r="P2594" s="46" t="s">
        <v>101</v>
      </c>
    </row>
    <row r="2595" spans="15:16" x14ac:dyDescent="0.2">
      <c r="O2595" s="38" t="s">
        <v>1948</v>
      </c>
      <c r="P2595" s="47" t="s">
        <v>101</v>
      </c>
    </row>
    <row r="2596" spans="15:16" x14ac:dyDescent="0.2">
      <c r="O2596" s="37" t="s">
        <v>753</v>
      </c>
      <c r="P2596" s="46" t="s">
        <v>101</v>
      </c>
    </row>
    <row r="2597" spans="15:16" x14ac:dyDescent="0.2">
      <c r="O2597" s="38" t="s">
        <v>405</v>
      </c>
      <c r="P2597" s="47" t="s">
        <v>101</v>
      </c>
    </row>
    <row r="2598" spans="15:16" x14ac:dyDescent="0.2">
      <c r="O2598" s="37" t="s">
        <v>1949</v>
      </c>
      <c r="P2598" s="46" t="s">
        <v>101</v>
      </c>
    </row>
    <row r="2599" spans="15:16" x14ac:dyDescent="0.2">
      <c r="O2599" s="38" t="s">
        <v>754</v>
      </c>
      <c r="P2599" s="47" t="s">
        <v>101</v>
      </c>
    </row>
    <row r="2600" spans="15:16" x14ac:dyDescent="0.2">
      <c r="O2600" s="37" t="s">
        <v>1950</v>
      </c>
      <c r="P2600" s="46" t="s">
        <v>101</v>
      </c>
    </row>
    <row r="2601" spans="15:16" x14ac:dyDescent="0.2">
      <c r="O2601" s="38" t="s">
        <v>1951</v>
      </c>
      <c r="P2601" s="47" t="s">
        <v>101</v>
      </c>
    </row>
    <row r="2602" spans="15:16" x14ac:dyDescent="0.2">
      <c r="O2602" s="37" t="s">
        <v>406</v>
      </c>
      <c r="P2602" s="46" t="s">
        <v>101</v>
      </c>
    </row>
    <row r="2603" spans="15:16" x14ac:dyDescent="0.2">
      <c r="O2603" s="38" t="s">
        <v>1952</v>
      </c>
      <c r="P2603" s="47" t="s">
        <v>101</v>
      </c>
    </row>
    <row r="2604" spans="15:16" x14ac:dyDescent="0.2">
      <c r="O2604" s="37" t="s">
        <v>1953</v>
      </c>
      <c r="P2604" s="46" t="s">
        <v>101</v>
      </c>
    </row>
    <row r="2605" spans="15:16" x14ac:dyDescent="0.2">
      <c r="O2605" s="38" t="s">
        <v>1954</v>
      </c>
      <c r="P2605" s="47" t="s">
        <v>101</v>
      </c>
    </row>
    <row r="2606" spans="15:16" x14ac:dyDescent="0.2">
      <c r="O2606" s="37" t="s">
        <v>1955</v>
      </c>
      <c r="P2606" s="46" t="s">
        <v>101</v>
      </c>
    </row>
    <row r="2607" spans="15:16" x14ac:dyDescent="0.2">
      <c r="O2607" s="38" t="s">
        <v>1956</v>
      </c>
      <c r="P2607" s="47" t="s">
        <v>101</v>
      </c>
    </row>
    <row r="2608" spans="15:16" x14ac:dyDescent="0.2">
      <c r="O2608" s="37" t="s">
        <v>1957</v>
      </c>
      <c r="P2608" s="46" t="s">
        <v>101</v>
      </c>
    </row>
    <row r="2609" spans="15:16" x14ac:dyDescent="0.2">
      <c r="O2609" s="38" t="s">
        <v>1958</v>
      </c>
      <c r="P2609" s="47" t="s">
        <v>101</v>
      </c>
    </row>
    <row r="2610" spans="15:16" x14ac:dyDescent="0.2">
      <c r="O2610" s="37" t="s">
        <v>1959</v>
      </c>
      <c r="P2610" s="46" t="s">
        <v>101</v>
      </c>
    </row>
    <row r="2611" spans="15:16" x14ac:dyDescent="0.2">
      <c r="O2611" s="38" t="s">
        <v>1960</v>
      </c>
      <c r="P2611" s="47" t="s">
        <v>101</v>
      </c>
    </row>
    <row r="2612" spans="15:16" x14ac:dyDescent="0.2">
      <c r="O2612" s="37" t="s">
        <v>1017</v>
      </c>
      <c r="P2612" s="46" t="s">
        <v>101</v>
      </c>
    </row>
    <row r="2613" spans="15:16" x14ac:dyDescent="0.2">
      <c r="O2613" s="38" t="s">
        <v>1088</v>
      </c>
      <c r="P2613" s="47" t="s">
        <v>101</v>
      </c>
    </row>
    <row r="2614" spans="15:16" x14ac:dyDescent="0.2">
      <c r="O2614" s="37" t="s">
        <v>1961</v>
      </c>
      <c r="P2614" s="46" t="s">
        <v>101</v>
      </c>
    </row>
    <row r="2615" spans="15:16" x14ac:dyDescent="0.2">
      <c r="O2615" s="38" t="s">
        <v>1962</v>
      </c>
      <c r="P2615" s="47" t="s">
        <v>101</v>
      </c>
    </row>
    <row r="2616" spans="15:16" x14ac:dyDescent="0.2">
      <c r="O2616" s="37" t="s">
        <v>1537</v>
      </c>
      <c r="P2616" s="46" t="s">
        <v>101</v>
      </c>
    </row>
    <row r="2617" spans="15:16" x14ac:dyDescent="0.2">
      <c r="O2617" s="38" t="s">
        <v>409</v>
      </c>
      <c r="P2617" s="47" t="s">
        <v>101</v>
      </c>
    </row>
    <row r="2618" spans="15:16" x14ac:dyDescent="0.2">
      <c r="O2618" s="37" t="s">
        <v>763</v>
      </c>
      <c r="P2618" s="46" t="s">
        <v>101</v>
      </c>
    </row>
    <row r="2619" spans="15:16" x14ac:dyDescent="0.2">
      <c r="O2619" s="38" t="s">
        <v>682</v>
      </c>
      <c r="P2619" s="47" t="s">
        <v>101</v>
      </c>
    </row>
    <row r="2620" spans="15:16" x14ac:dyDescent="0.2">
      <c r="O2620" s="37" t="s">
        <v>1963</v>
      </c>
      <c r="P2620" s="46" t="s">
        <v>101</v>
      </c>
    </row>
    <row r="2621" spans="15:16" x14ac:dyDescent="0.2">
      <c r="O2621" s="38" t="s">
        <v>1882</v>
      </c>
      <c r="P2621" s="47" t="s">
        <v>101</v>
      </c>
    </row>
    <row r="2622" spans="15:16" x14ac:dyDescent="0.2">
      <c r="O2622" s="37" t="s">
        <v>876</v>
      </c>
      <c r="P2622" s="46" t="s">
        <v>101</v>
      </c>
    </row>
    <row r="2623" spans="15:16" x14ac:dyDescent="0.2">
      <c r="O2623" s="38" t="s">
        <v>766</v>
      </c>
      <c r="P2623" s="47" t="s">
        <v>101</v>
      </c>
    </row>
    <row r="2624" spans="15:16" x14ac:dyDescent="0.2">
      <c r="O2624" s="37" t="s">
        <v>923</v>
      </c>
      <c r="P2624" s="46" t="s">
        <v>101</v>
      </c>
    </row>
    <row r="2625" spans="15:16" x14ac:dyDescent="0.2">
      <c r="O2625" s="38" t="s">
        <v>1964</v>
      </c>
      <c r="P2625" s="47" t="s">
        <v>101</v>
      </c>
    </row>
    <row r="2626" spans="15:16" x14ac:dyDescent="0.2">
      <c r="O2626" s="37" t="s">
        <v>1022</v>
      </c>
      <c r="P2626" s="46" t="s">
        <v>101</v>
      </c>
    </row>
    <row r="2627" spans="15:16" x14ac:dyDescent="0.2">
      <c r="O2627" s="38" t="s">
        <v>1965</v>
      </c>
      <c r="P2627" s="47" t="s">
        <v>101</v>
      </c>
    </row>
    <row r="2628" spans="15:16" x14ac:dyDescent="0.2">
      <c r="O2628" s="37" t="s">
        <v>1966</v>
      </c>
      <c r="P2628" s="46" t="s">
        <v>101</v>
      </c>
    </row>
    <row r="2629" spans="15:16" x14ac:dyDescent="0.2">
      <c r="O2629" s="38" t="s">
        <v>877</v>
      </c>
      <c r="P2629" s="47" t="s">
        <v>101</v>
      </c>
    </row>
    <row r="2630" spans="15:16" x14ac:dyDescent="0.2">
      <c r="O2630" s="37" t="s">
        <v>1539</v>
      </c>
      <c r="P2630" s="46" t="s">
        <v>101</v>
      </c>
    </row>
    <row r="2631" spans="15:16" x14ac:dyDescent="0.2">
      <c r="O2631" s="38" t="s">
        <v>1437</v>
      </c>
      <c r="P2631" s="47" t="s">
        <v>101</v>
      </c>
    </row>
    <row r="2632" spans="15:16" x14ac:dyDescent="0.2">
      <c r="O2632" s="37" t="s">
        <v>1967</v>
      </c>
      <c r="P2632" s="46" t="s">
        <v>101</v>
      </c>
    </row>
    <row r="2633" spans="15:16" x14ac:dyDescent="0.2">
      <c r="O2633" s="38" t="s">
        <v>1968</v>
      </c>
      <c r="P2633" s="47" t="s">
        <v>101</v>
      </c>
    </row>
    <row r="2634" spans="15:16" x14ac:dyDescent="0.2">
      <c r="O2634" s="37" t="s">
        <v>1093</v>
      </c>
      <c r="P2634" s="46" t="s">
        <v>101</v>
      </c>
    </row>
    <row r="2635" spans="15:16" x14ac:dyDescent="0.2">
      <c r="O2635" s="38" t="s">
        <v>411</v>
      </c>
      <c r="P2635" s="47" t="s">
        <v>101</v>
      </c>
    </row>
    <row r="2636" spans="15:16" x14ac:dyDescent="0.2">
      <c r="O2636" s="37" t="s">
        <v>508</v>
      </c>
      <c r="P2636" s="46" t="s">
        <v>101</v>
      </c>
    </row>
    <row r="2637" spans="15:16" x14ac:dyDescent="0.2">
      <c r="O2637" s="38" t="s">
        <v>1969</v>
      </c>
      <c r="P2637" s="47" t="s">
        <v>101</v>
      </c>
    </row>
    <row r="2638" spans="15:16" x14ac:dyDescent="0.2">
      <c r="O2638" s="37" t="s">
        <v>1970</v>
      </c>
      <c r="P2638" s="46" t="s">
        <v>101</v>
      </c>
    </row>
    <row r="2639" spans="15:16" x14ac:dyDescent="0.2">
      <c r="O2639" s="38" t="s">
        <v>1853</v>
      </c>
      <c r="P2639" s="47" t="s">
        <v>101</v>
      </c>
    </row>
    <row r="2640" spans="15:16" x14ac:dyDescent="0.2">
      <c r="O2640" s="37" t="s">
        <v>1971</v>
      </c>
      <c r="P2640" s="46" t="s">
        <v>101</v>
      </c>
    </row>
    <row r="2641" spans="15:16" x14ac:dyDescent="0.2">
      <c r="O2641" s="38" t="s">
        <v>1972</v>
      </c>
      <c r="P2641" s="47" t="s">
        <v>101</v>
      </c>
    </row>
    <row r="2642" spans="15:16" x14ac:dyDescent="0.2">
      <c r="O2642" s="37" t="s">
        <v>412</v>
      </c>
      <c r="P2642" s="46" t="s">
        <v>101</v>
      </c>
    </row>
    <row r="2643" spans="15:16" x14ac:dyDescent="0.2">
      <c r="O2643" s="38" t="s">
        <v>770</v>
      </c>
      <c r="P2643" s="47" t="s">
        <v>101</v>
      </c>
    </row>
    <row r="2644" spans="15:16" x14ac:dyDescent="0.2">
      <c r="O2644" s="37" t="s">
        <v>771</v>
      </c>
      <c r="P2644" s="46" t="s">
        <v>101</v>
      </c>
    </row>
    <row r="2645" spans="15:16" x14ac:dyDescent="0.2">
      <c r="O2645" s="38" t="s">
        <v>413</v>
      </c>
      <c r="P2645" s="47" t="s">
        <v>101</v>
      </c>
    </row>
    <row r="2646" spans="15:16" x14ac:dyDescent="0.2">
      <c r="O2646" s="37" t="s">
        <v>1973</v>
      </c>
      <c r="P2646" s="46" t="s">
        <v>101</v>
      </c>
    </row>
    <row r="2647" spans="15:16" x14ac:dyDescent="0.2">
      <c r="O2647" s="38" t="s">
        <v>1974</v>
      </c>
      <c r="P2647" s="47" t="s">
        <v>101</v>
      </c>
    </row>
    <row r="2648" spans="15:16" x14ac:dyDescent="0.2">
      <c r="O2648" s="37" t="s">
        <v>511</v>
      </c>
      <c r="P2648" s="46" t="s">
        <v>101</v>
      </c>
    </row>
    <row r="2649" spans="15:16" x14ac:dyDescent="0.2">
      <c r="O2649" s="38" t="s">
        <v>773</v>
      </c>
      <c r="P2649" s="47" t="s">
        <v>101</v>
      </c>
    </row>
    <row r="2650" spans="15:16" x14ac:dyDescent="0.2">
      <c r="O2650" s="37" t="s">
        <v>1975</v>
      </c>
      <c r="P2650" s="46" t="s">
        <v>101</v>
      </c>
    </row>
    <row r="2651" spans="15:16" x14ac:dyDescent="0.2">
      <c r="O2651" s="38" t="s">
        <v>1976</v>
      </c>
      <c r="P2651" s="47" t="s">
        <v>101</v>
      </c>
    </row>
    <row r="2652" spans="15:16" x14ac:dyDescent="0.2">
      <c r="O2652" s="37" t="s">
        <v>883</v>
      </c>
      <c r="P2652" s="46" t="s">
        <v>101</v>
      </c>
    </row>
    <row r="2653" spans="15:16" x14ac:dyDescent="0.2">
      <c r="O2653" s="38" t="s">
        <v>1977</v>
      </c>
      <c r="P2653" s="47" t="s">
        <v>101</v>
      </c>
    </row>
    <row r="2654" spans="15:16" x14ac:dyDescent="0.2">
      <c r="O2654" s="37" t="s">
        <v>659</v>
      </c>
      <c r="P2654" s="46" t="s">
        <v>101</v>
      </c>
    </row>
    <row r="2655" spans="15:16" x14ac:dyDescent="0.2">
      <c r="O2655" s="38" t="s">
        <v>1978</v>
      </c>
      <c r="P2655" s="47" t="s">
        <v>101</v>
      </c>
    </row>
    <row r="2656" spans="15:16" x14ac:dyDescent="0.2">
      <c r="O2656" s="37" t="s">
        <v>1979</v>
      </c>
      <c r="P2656" s="46" t="s">
        <v>101</v>
      </c>
    </row>
    <row r="2657" spans="15:16" x14ac:dyDescent="0.2">
      <c r="O2657" s="38" t="s">
        <v>1980</v>
      </c>
      <c r="P2657" s="47" t="s">
        <v>101</v>
      </c>
    </row>
    <row r="2658" spans="15:16" x14ac:dyDescent="0.2">
      <c r="O2658" s="37" t="s">
        <v>1981</v>
      </c>
      <c r="P2658" s="46" t="s">
        <v>101</v>
      </c>
    </row>
    <row r="2659" spans="15:16" x14ac:dyDescent="0.2">
      <c r="O2659" s="38" t="s">
        <v>1982</v>
      </c>
      <c r="P2659" s="47" t="s">
        <v>101</v>
      </c>
    </row>
    <row r="2660" spans="15:16" x14ac:dyDescent="0.2">
      <c r="O2660" s="37" t="s">
        <v>884</v>
      </c>
      <c r="P2660" s="46" t="s">
        <v>101</v>
      </c>
    </row>
    <row r="2661" spans="15:16" x14ac:dyDescent="0.2">
      <c r="O2661" s="38" t="s">
        <v>414</v>
      </c>
      <c r="P2661" s="47" t="s">
        <v>101</v>
      </c>
    </row>
    <row r="2662" spans="15:16" x14ac:dyDescent="0.2">
      <c r="O2662" s="37" t="s">
        <v>1983</v>
      </c>
      <c r="P2662" s="46" t="s">
        <v>101</v>
      </c>
    </row>
    <row r="2663" spans="15:16" x14ac:dyDescent="0.2">
      <c r="O2663" s="38" t="s">
        <v>1984</v>
      </c>
      <c r="P2663" s="47" t="s">
        <v>101</v>
      </c>
    </row>
    <row r="2664" spans="15:16" x14ac:dyDescent="0.2">
      <c r="O2664" s="37" t="s">
        <v>885</v>
      </c>
      <c r="P2664" s="46" t="s">
        <v>101</v>
      </c>
    </row>
    <row r="2665" spans="15:16" x14ac:dyDescent="0.2">
      <c r="O2665" s="38" t="s">
        <v>1985</v>
      </c>
      <c r="P2665" s="47" t="s">
        <v>101</v>
      </c>
    </row>
    <row r="2666" spans="15:16" x14ac:dyDescent="0.2">
      <c r="O2666" s="37" t="s">
        <v>417</v>
      </c>
      <c r="P2666" s="46" t="s">
        <v>101</v>
      </c>
    </row>
    <row r="2667" spans="15:16" x14ac:dyDescent="0.2">
      <c r="O2667" s="38" t="s">
        <v>690</v>
      </c>
      <c r="P2667" s="47" t="s">
        <v>101</v>
      </c>
    </row>
    <row r="2668" spans="15:16" x14ac:dyDescent="0.2">
      <c r="O2668" s="37" t="s">
        <v>692</v>
      </c>
      <c r="P2668" s="46" t="s">
        <v>101</v>
      </c>
    </row>
    <row r="2669" spans="15:16" x14ac:dyDescent="0.2">
      <c r="O2669" s="38" t="s">
        <v>418</v>
      </c>
      <c r="P2669" s="47" t="s">
        <v>101</v>
      </c>
    </row>
    <row r="2670" spans="15:16" x14ac:dyDescent="0.2">
      <c r="O2670" s="37" t="s">
        <v>1986</v>
      </c>
      <c r="P2670" s="46" t="s">
        <v>101</v>
      </c>
    </row>
    <row r="2671" spans="15:16" x14ac:dyDescent="0.2">
      <c r="O2671" s="38" t="s">
        <v>1987</v>
      </c>
      <c r="P2671" s="47" t="s">
        <v>101</v>
      </c>
    </row>
    <row r="2672" spans="15:16" x14ac:dyDescent="0.2">
      <c r="O2672" s="37" t="s">
        <v>1988</v>
      </c>
      <c r="P2672" s="46" t="s">
        <v>101</v>
      </c>
    </row>
    <row r="2673" spans="15:16" x14ac:dyDescent="0.2">
      <c r="O2673" s="38" t="s">
        <v>1989</v>
      </c>
      <c r="P2673" s="47" t="s">
        <v>101</v>
      </c>
    </row>
    <row r="2674" spans="15:16" x14ac:dyDescent="0.2">
      <c r="O2674" s="37" t="s">
        <v>1990</v>
      </c>
      <c r="P2674" s="46" t="s">
        <v>101</v>
      </c>
    </row>
    <row r="2675" spans="15:16" x14ac:dyDescent="0.2">
      <c r="O2675" s="38" t="s">
        <v>1991</v>
      </c>
      <c r="P2675" s="47" t="s">
        <v>101</v>
      </c>
    </row>
    <row r="2676" spans="15:16" x14ac:dyDescent="0.2">
      <c r="O2676" s="37" t="s">
        <v>1992</v>
      </c>
      <c r="P2676" s="46" t="s">
        <v>101</v>
      </c>
    </row>
    <row r="2677" spans="15:16" x14ac:dyDescent="0.2">
      <c r="O2677" s="38" t="s">
        <v>1993</v>
      </c>
      <c r="P2677" s="47" t="s">
        <v>101</v>
      </c>
    </row>
    <row r="2678" spans="15:16" x14ac:dyDescent="0.2">
      <c r="O2678" s="37" t="s">
        <v>1994</v>
      </c>
      <c r="P2678" s="46" t="s">
        <v>101</v>
      </c>
    </row>
    <row r="2679" spans="15:16" x14ac:dyDescent="0.2">
      <c r="O2679" s="38" t="s">
        <v>421</v>
      </c>
      <c r="P2679" s="47" t="s">
        <v>101</v>
      </c>
    </row>
    <row r="2680" spans="15:16" x14ac:dyDescent="0.2">
      <c r="O2680" s="37" t="s">
        <v>423</v>
      </c>
      <c r="P2680" s="46" t="s">
        <v>101</v>
      </c>
    </row>
    <row r="2681" spans="15:16" x14ac:dyDescent="0.2">
      <c r="O2681" s="38" t="s">
        <v>694</v>
      </c>
      <c r="P2681" s="47" t="s">
        <v>101</v>
      </c>
    </row>
    <row r="2682" spans="15:16" x14ac:dyDescent="0.2">
      <c r="O2682" s="37" t="s">
        <v>891</v>
      </c>
      <c r="P2682" s="46" t="s">
        <v>101</v>
      </c>
    </row>
    <row r="2683" spans="15:16" x14ac:dyDescent="0.2">
      <c r="O2683" s="38" t="s">
        <v>1995</v>
      </c>
      <c r="P2683" s="47" t="s">
        <v>101</v>
      </c>
    </row>
    <row r="2684" spans="15:16" x14ac:dyDescent="0.2">
      <c r="O2684" s="37" t="s">
        <v>1996</v>
      </c>
      <c r="P2684" s="46" t="s">
        <v>101</v>
      </c>
    </row>
    <row r="2685" spans="15:16" x14ac:dyDescent="0.2">
      <c r="O2685" s="38" t="s">
        <v>1698</v>
      </c>
      <c r="P2685" s="47" t="s">
        <v>101</v>
      </c>
    </row>
    <row r="2686" spans="15:16" x14ac:dyDescent="0.2">
      <c r="O2686" s="37" t="s">
        <v>893</v>
      </c>
      <c r="P2686" s="46" t="s">
        <v>101</v>
      </c>
    </row>
    <row r="2687" spans="15:16" x14ac:dyDescent="0.2">
      <c r="O2687" s="38" t="s">
        <v>1263</v>
      </c>
      <c r="P2687" s="47" t="s">
        <v>101</v>
      </c>
    </row>
    <row r="2688" spans="15:16" x14ac:dyDescent="0.2">
      <c r="O2688" s="37" t="s">
        <v>1997</v>
      </c>
      <c r="P2688" s="46" t="s">
        <v>101</v>
      </c>
    </row>
    <row r="2689" spans="15:16" x14ac:dyDescent="0.2">
      <c r="O2689" s="38" t="s">
        <v>980</v>
      </c>
      <c r="P2689" s="47" t="s">
        <v>101</v>
      </c>
    </row>
    <row r="2690" spans="15:16" x14ac:dyDescent="0.2">
      <c r="O2690" s="37" t="s">
        <v>781</v>
      </c>
      <c r="P2690" s="46" t="s">
        <v>101</v>
      </c>
    </row>
    <row r="2691" spans="15:16" x14ac:dyDescent="0.2">
      <c r="O2691" s="38" t="s">
        <v>1998</v>
      </c>
      <c r="P2691" s="47" t="s">
        <v>101</v>
      </c>
    </row>
    <row r="2692" spans="15:16" x14ac:dyDescent="0.2">
      <c r="O2692" s="37" t="s">
        <v>427</v>
      </c>
      <c r="P2692" s="46" t="s">
        <v>101</v>
      </c>
    </row>
    <row r="2693" spans="15:16" x14ac:dyDescent="0.2">
      <c r="O2693" s="38" t="s">
        <v>1623</v>
      </c>
      <c r="P2693" s="47" t="s">
        <v>101</v>
      </c>
    </row>
    <row r="2694" spans="15:16" x14ac:dyDescent="0.2">
      <c r="O2694" s="37" t="s">
        <v>1032</v>
      </c>
      <c r="P2694" s="46" t="s">
        <v>101</v>
      </c>
    </row>
    <row r="2695" spans="15:16" x14ac:dyDescent="0.2">
      <c r="O2695" s="38" t="s">
        <v>1999</v>
      </c>
      <c r="P2695" s="47" t="s">
        <v>101</v>
      </c>
    </row>
    <row r="2696" spans="15:16" x14ac:dyDescent="0.2">
      <c r="O2696" s="37" t="s">
        <v>2000</v>
      </c>
      <c r="P2696" s="46" t="s">
        <v>101</v>
      </c>
    </row>
    <row r="2697" spans="15:16" x14ac:dyDescent="0.2">
      <c r="O2697" s="38" t="s">
        <v>2001</v>
      </c>
      <c r="P2697" s="47" t="s">
        <v>101</v>
      </c>
    </row>
    <row r="2698" spans="15:16" x14ac:dyDescent="0.2">
      <c r="O2698" s="37" t="s">
        <v>520</v>
      </c>
      <c r="P2698" s="46" t="s">
        <v>101</v>
      </c>
    </row>
    <row r="2699" spans="15:16" x14ac:dyDescent="0.2">
      <c r="O2699" s="38" t="s">
        <v>2002</v>
      </c>
      <c r="P2699" s="47" t="s">
        <v>101</v>
      </c>
    </row>
    <row r="2700" spans="15:16" x14ac:dyDescent="0.2">
      <c r="O2700" s="37" t="s">
        <v>2003</v>
      </c>
      <c r="P2700" s="46" t="s">
        <v>101</v>
      </c>
    </row>
    <row r="2701" spans="15:16" x14ac:dyDescent="0.2">
      <c r="O2701" s="38" t="s">
        <v>2004</v>
      </c>
      <c r="P2701" s="47" t="s">
        <v>101</v>
      </c>
    </row>
    <row r="2702" spans="15:16" x14ac:dyDescent="0.2">
      <c r="O2702" s="37" t="s">
        <v>1109</v>
      </c>
      <c r="P2702" s="46" t="s">
        <v>101</v>
      </c>
    </row>
    <row r="2703" spans="15:16" x14ac:dyDescent="0.2">
      <c r="O2703" s="38" t="s">
        <v>569</v>
      </c>
      <c r="P2703" s="47" t="s">
        <v>101</v>
      </c>
    </row>
    <row r="2704" spans="15:16" x14ac:dyDescent="0.2">
      <c r="O2704" s="37" t="s">
        <v>2005</v>
      </c>
      <c r="P2704" s="46" t="s">
        <v>101</v>
      </c>
    </row>
    <row r="2705" spans="15:16" x14ac:dyDescent="0.2">
      <c r="O2705" s="38" t="s">
        <v>1367</v>
      </c>
      <c r="P2705" s="47" t="s">
        <v>101</v>
      </c>
    </row>
    <row r="2706" spans="15:16" x14ac:dyDescent="0.2">
      <c r="O2706" s="37" t="s">
        <v>2006</v>
      </c>
      <c r="P2706" s="46" t="s">
        <v>101</v>
      </c>
    </row>
    <row r="2707" spans="15:16" x14ac:dyDescent="0.2">
      <c r="O2707" s="38" t="s">
        <v>2007</v>
      </c>
      <c r="P2707" s="47" t="s">
        <v>101</v>
      </c>
    </row>
    <row r="2708" spans="15:16" x14ac:dyDescent="0.2">
      <c r="O2708" s="37" t="s">
        <v>2008</v>
      </c>
      <c r="P2708" s="46" t="s">
        <v>101</v>
      </c>
    </row>
    <row r="2709" spans="15:16" x14ac:dyDescent="0.2">
      <c r="O2709" s="38" t="s">
        <v>524</v>
      </c>
      <c r="P2709" s="47" t="s">
        <v>101</v>
      </c>
    </row>
    <row r="2710" spans="15:16" x14ac:dyDescent="0.2">
      <c r="O2710" s="37" t="s">
        <v>1799</v>
      </c>
      <c r="P2710" s="46" t="s">
        <v>101</v>
      </c>
    </row>
    <row r="2711" spans="15:16" x14ac:dyDescent="0.2">
      <c r="O2711" s="38" t="s">
        <v>2009</v>
      </c>
      <c r="P2711" s="47" t="s">
        <v>101</v>
      </c>
    </row>
    <row r="2712" spans="15:16" x14ac:dyDescent="0.2">
      <c r="O2712" s="37" t="s">
        <v>2010</v>
      </c>
      <c r="P2712" s="46" t="s">
        <v>101</v>
      </c>
    </row>
    <row r="2713" spans="15:16" x14ac:dyDescent="0.2">
      <c r="O2713" s="38" t="s">
        <v>2011</v>
      </c>
      <c r="P2713" s="47" t="s">
        <v>101</v>
      </c>
    </row>
    <row r="2714" spans="15:16" x14ac:dyDescent="0.2">
      <c r="O2714" s="37" t="s">
        <v>2012</v>
      </c>
      <c r="P2714" s="46" t="s">
        <v>101</v>
      </c>
    </row>
    <row r="2715" spans="15:16" x14ac:dyDescent="0.2">
      <c r="O2715" s="38" t="s">
        <v>2013</v>
      </c>
      <c r="P2715" s="47" t="s">
        <v>101</v>
      </c>
    </row>
    <row r="2716" spans="15:16" x14ac:dyDescent="0.2">
      <c r="O2716" s="37" t="s">
        <v>2014</v>
      </c>
      <c r="P2716" s="46" t="s">
        <v>101</v>
      </c>
    </row>
    <row r="2717" spans="15:16" x14ac:dyDescent="0.2">
      <c r="O2717" s="38" t="s">
        <v>2015</v>
      </c>
      <c r="P2717" s="47" t="s">
        <v>101</v>
      </c>
    </row>
    <row r="2718" spans="15:16" x14ac:dyDescent="0.2">
      <c r="O2718" s="37" t="s">
        <v>2016</v>
      </c>
      <c r="P2718" s="46" t="s">
        <v>101</v>
      </c>
    </row>
    <row r="2719" spans="15:16" x14ac:dyDescent="0.2">
      <c r="O2719" s="38" t="s">
        <v>1862</v>
      </c>
      <c r="P2719" s="47" t="s">
        <v>101</v>
      </c>
    </row>
    <row r="2720" spans="15:16" x14ac:dyDescent="0.2">
      <c r="O2720" s="37" t="s">
        <v>1113</v>
      </c>
      <c r="P2720" s="46" t="s">
        <v>101</v>
      </c>
    </row>
    <row r="2721" spans="15:16" x14ac:dyDescent="0.2">
      <c r="O2721" s="38" t="s">
        <v>2017</v>
      </c>
      <c r="P2721" s="47" t="s">
        <v>101</v>
      </c>
    </row>
    <row r="2722" spans="15:16" x14ac:dyDescent="0.2">
      <c r="O2722" s="37" t="s">
        <v>2018</v>
      </c>
      <c r="P2722" s="46" t="s">
        <v>101</v>
      </c>
    </row>
    <row r="2723" spans="15:16" x14ac:dyDescent="0.2">
      <c r="O2723" s="38" t="s">
        <v>2019</v>
      </c>
      <c r="P2723" s="47" t="s">
        <v>101</v>
      </c>
    </row>
    <row r="2724" spans="15:16" x14ac:dyDescent="0.2">
      <c r="O2724" s="37" t="s">
        <v>2020</v>
      </c>
      <c r="P2724" s="46" t="s">
        <v>101</v>
      </c>
    </row>
    <row r="2725" spans="15:16" x14ac:dyDescent="0.2">
      <c r="O2725" s="38" t="s">
        <v>2021</v>
      </c>
      <c r="P2725" s="47" t="s">
        <v>101</v>
      </c>
    </row>
    <row r="2726" spans="15:16" x14ac:dyDescent="0.2">
      <c r="O2726" s="37" t="s">
        <v>2022</v>
      </c>
      <c r="P2726" s="46" t="s">
        <v>101</v>
      </c>
    </row>
    <row r="2727" spans="15:16" x14ac:dyDescent="0.2">
      <c r="O2727" s="38" t="s">
        <v>2023</v>
      </c>
      <c r="P2727" s="47" t="s">
        <v>101</v>
      </c>
    </row>
    <row r="2728" spans="15:16" x14ac:dyDescent="0.2">
      <c r="O2728" s="37" t="s">
        <v>2024</v>
      </c>
      <c r="P2728" s="46" t="s">
        <v>101</v>
      </c>
    </row>
    <row r="2729" spans="15:16" x14ac:dyDescent="0.2">
      <c r="O2729" s="38" t="s">
        <v>2025</v>
      </c>
      <c r="P2729" s="47" t="s">
        <v>101</v>
      </c>
    </row>
    <row r="2730" spans="15:16" x14ac:dyDescent="0.2">
      <c r="O2730" s="37" t="s">
        <v>2026</v>
      </c>
      <c r="P2730" s="46" t="s">
        <v>101</v>
      </c>
    </row>
    <row r="2731" spans="15:16" x14ac:dyDescent="0.2">
      <c r="O2731" s="38" t="s">
        <v>2027</v>
      </c>
      <c r="P2731" s="47" t="s">
        <v>101</v>
      </c>
    </row>
    <row r="2732" spans="15:16" x14ac:dyDescent="0.2">
      <c r="O2732" s="37" t="s">
        <v>435</v>
      </c>
      <c r="P2732" s="46" t="s">
        <v>101</v>
      </c>
    </row>
    <row r="2733" spans="15:16" x14ac:dyDescent="0.2">
      <c r="O2733" s="38" t="s">
        <v>1053</v>
      </c>
      <c r="P2733" s="47" t="s">
        <v>101</v>
      </c>
    </row>
    <row r="2734" spans="15:16" x14ac:dyDescent="0.2">
      <c r="O2734" s="37" t="s">
        <v>1054</v>
      </c>
      <c r="P2734" s="46" t="s">
        <v>101</v>
      </c>
    </row>
    <row r="2735" spans="15:16" x14ac:dyDescent="0.2">
      <c r="O2735" s="38" t="s">
        <v>2028</v>
      </c>
      <c r="P2735" s="47" t="s">
        <v>101</v>
      </c>
    </row>
    <row r="2736" spans="15:16" x14ac:dyDescent="0.2">
      <c r="O2736" s="37" t="s">
        <v>2029</v>
      </c>
      <c r="P2736" s="46" t="s">
        <v>101</v>
      </c>
    </row>
    <row r="2737" spans="15:16" x14ac:dyDescent="0.2">
      <c r="O2737" s="38" t="s">
        <v>796</v>
      </c>
      <c r="P2737" s="47" t="s">
        <v>101</v>
      </c>
    </row>
    <row r="2738" spans="15:16" x14ac:dyDescent="0.2">
      <c r="O2738" s="37" t="s">
        <v>2030</v>
      </c>
      <c r="P2738" s="46" t="s">
        <v>101</v>
      </c>
    </row>
    <row r="2739" spans="15:16" x14ac:dyDescent="0.2">
      <c r="O2739" s="38" t="s">
        <v>2031</v>
      </c>
      <c r="P2739" s="47" t="s">
        <v>101</v>
      </c>
    </row>
    <row r="2740" spans="15:16" x14ac:dyDescent="0.2">
      <c r="O2740" s="37" t="s">
        <v>2032</v>
      </c>
      <c r="P2740" s="46" t="s">
        <v>101</v>
      </c>
    </row>
    <row r="2741" spans="15:16" x14ac:dyDescent="0.2">
      <c r="O2741" s="38" t="s">
        <v>2033</v>
      </c>
      <c r="P2741" s="47" t="s">
        <v>101</v>
      </c>
    </row>
    <row r="2742" spans="15:16" x14ac:dyDescent="0.2">
      <c r="O2742" s="37" t="s">
        <v>2034</v>
      </c>
      <c r="P2742" s="46" t="s">
        <v>101</v>
      </c>
    </row>
    <row r="2743" spans="15:16" x14ac:dyDescent="0.2">
      <c r="O2743" s="38" t="s">
        <v>709</v>
      </c>
      <c r="P2743" s="47" t="s">
        <v>101</v>
      </c>
    </row>
    <row r="2744" spans="15:16" x14ac:dyDescent="0.2">
      <c r="O2744" s="37" t="s">
        <v>802</v>
      </c>
      <c r="P2744" s="46" t="s">
        <v>101</v>
      </c>
    </row>
    <row r="2745" spans="15:16" x14ac:dyDescent="0.2">
      <c r="O2745" s="38" t="s">
        <v>2035</v>
      </c>
      <c r="P2745" s="47" t="s">
        <v>101</v>
      </c>
    </row>
    <row r="2746" spans="15:16" x14ac:dyDescent="0.2">
      <c r="O2746" s="37" t="s">
        <v>2036</v>
      </c>
      <c r="P2746" s="46" t="s">
        <v>101</v>
      </c>
    </row>
    <row r="2747" spans="15:16" x14ac:dyDescent="0.2">
      <c r="O2747" s="38" t="s">
        <v>2037</v>
      </c>
      <c r="P2747" s="47" t="s">
        <v>101</v>
      </c>
    </row>
    <row r="2748" spans="15:16" x14ac:dyDescent="0.2">
      <c r="O2748" s="37" t="s">
        <v>2038</v>
      </c>
      <c r="P2748" s="46" t="s">
        <v>101</v>
      </c>
    </row>
    <row r="2749" spans="15:16" x14ac:dyDescent="0.2">
      <c r="O2749" s="38" t="s">
        <v>2039</v>
      </c>
      <c r="P2749" s="47" t="s">
        <v>101</v>
      </c>
    </row>
    <row r="2750" spans="15:16" x14ac:dyDescent="0.2">
      <c r="O2750" s="37" t="s">
        <v>591</v>
      </c>
      <c r="P2750" s="46" t="s">
        <v>101</v>
      </c>
    </row>
    <row r="2751" spans="15:16" x14ac:dyDescent="0.2">
      <c r="O2751" s="38" t="s">
        <v>2040</v>
      </c>
      <c r="P2751" s="47" t="s">
        <v>101</v>
      </c>
    </row>
    <row r="2752" spans="15:16" x14ac:dyDescent="0.2">
      <c r="O2752" s="37" t="s">
        <v>2041</v>
      </c>
      <c r="P2752" s="46" t="s">
        <v>101</v>
      </c>
    </row>
    <row r="2753" spans="15:16" x14ac:dyDescent="0.2">
      <c r="O2753" s="38" t="s">
        <v>2042</v>
      </c>
      <c r="P2753" s="47" t="s">
        <v>101</v>
      </c>
    </row>
    <row r="2754" spans="15:16" x14ac:dyDescent="0.2">
      <c r="O2754" s="37" t="s">
        <v>2043</v>
      </c>
      <c r="P2754" s="46" t="s">
        <v>101</v>
      </c>
    </row>
    <row r="2755" spans="15:16" x14ac:dyDescent="0.2">
      <c r="O2755" s="38" t="s">
        <v>2044</v>
      </c>
      <c r="P2755" s="47" t="s">
        <v>101</v>
      </c>
    </row>
    <row r="2756" spans="15:16" x14ac:dyDescent="0.2">
      <c r="O2756" s="37" t="s">
        <v>2045</v>
      </c>
      <c r="P2756" s="46" t="s">
        <v>101</v>
      </c>
    </row>
    <row r="2757" spans="15:16" x14ac:dyDescent="0.2">
      <c r="O2757" s="38" t="s">
        <v>2046</v>
      </c>
      <c r="P2757" s="47" t="s">
        <v>101</v>
      </c>
    </row>
    <row r="2758" spans="15:16" x14ac:dyDescent="0.2">
      <c r="O2758" s="37" t="s">
        <v>440</v>
      </c>
      <c r="P2758" s="46" t="s">
        <v>101</v>
      </c>
    </row>
    <row r="2759" spans="15:16" x14ac:dyDescent="0.2">
      <c r="O2759" s="38" t="s">
        <v>2047</v>
      </c>
      <c r="P2759" s="47" t="s">
        <v>101</v>
      </c>
    </row>
    <row r="2760" spans="15:16" x14ac:dyDescent="0.2">
      <c r="O2760" s="37" t="s">
        <v>1677</v>
      </c>
      <c r="P2760" s="46" t="s">
        <v>101</v>
      </c>
    </row>
    <row r="2761" spans="15:16" x14ac:dyDescent="0.2">
      <c r="O2761" s="38" t="s">
        <v>441</v>
      </c>
      <c r="P2761" s="47" t="s">
        <v>101</v>
      </c>
    </row>
    <row r="2762" spans="15:16" x14ac:dyDescent="0.2">
      <c r="O2762" s="37" t="s">
        <v>2048</v>
      </c>
      <c r="P2762" s="46" t="s">
        <v>101</v>
      </c>
    </row>
    <row r="2763" spans="15:16" x14ac:dyDescent="0.2">
      <c r="O2763" s="38" t="s">
        <v>2049</v>
      </c>
      <c r="P2763" s="47" t="s">
        <v>101</v>
      </c>
    </row>
    <row r="2764" spans="15:16" x14ac:dyDescent="0.2">
      <c r="O2764" s="37" t="s">
        <v>816</v>
      </c>
      <c r="P2764" s="46" t="s">
        <v>101</v>
      </c>
    </row>
    <row r="2765" spans="15:16" x14ac:dyDescent="0.2">
      <c r="O2765" s="38" t="s">
        <v>1062</v>
      </c>
      <c r="P2765" s="47" t="s">
        <v>101</v>
      </c>
    </row>
    <row r="2766" spans="15:16" x14ac:dyDescent="0.2">
      <c r="O2766" s="37" t="s">
        <v>2050</v>
      </c>
      <c r="P2766" s="46" t="s">
        <v>101</v>
      </c>
    </row>
    <row r="2767" spans="15:16" x14ac:dyDescent="0.2">
      <c r="O2767" s="38" t="s">
        <v>2051</v>
      </c>
      <c r="P2767" s="47" t="s">
        <v>101</v>
      </c>
    </row>
    <row r="2768" spans="15:16" x14ac:dyDescent="0.2">
      <c r="O2768" s="37" t="s">
        <v>910</v>
      </c>
      <c r="P2768" s="46" t="s">
        <v>101</v>
      </c>
    </row>
    <row r="2769" spans="15:16" x14ac:dyDescent="0.2">
      <c r="O2769" s="38" t="s">
        <v>1063</v>
      </c>
      <c r="P2769" s="47" t="s">
        <v>101</v>
      </c>
    </row>
    <row r="2770" spans="15:16" x14ac:dyDescent="0.2">
      <c r="O2770" s="37" t="s">
        <v>2052</v>
      </c>
      <c r="P2770" s="46" t="s">
        <v>101</v>
      </c>
    </row>
    <row r="2771" spans="15:16" x14ac:dyDescent="0.2">
      <c r="O2771" s="38" t="s">
        <v>2053</v>
      </c>
      <c r="P2771" s="47" t="s">
        <v>101</v>
      </c>
    </row>
    <row r="2772" spans="15:16" x14ac:dyDescent="0.2">
      <c r="O2772" s="37" t="s">
        <v>1712</v>
      </c>
      <c r="P2772" s="46" t="s">
        <v>101</v>
      </c>
    </row>
    <row r="2773" spans="15:16" x14ac:dyDescent="0.2">
      <c r="O2773" s="38" t="s">
        <v>2054</v>
      </c>
      <c r="P2773" s="47" t="s">
        <v>101</v>
      </c>
    </row>
    <row r="2774" spans="15:16" x14ac:dyDescent="0.2">
      <c r="O2774" s="37" t="s">
        <v>2055</v>
      </c>
      <c r="P2774" s="46" t="s">
        <v>101</v>
      </c>
    </row>
    <row r="2775" spans="15:16" x14ac:dyDescent="0.2">
      <c r="O2775" s="38" t="s">
        <v>2056</v>
      </c>
      <c r="P2775" s="47" t="s">
        <v>101</v>
      </c>
    </row>
    <row r="2776" spans="15:16" x14ac:dyDescent="0.2">
      <c r="O2776" s="37" t="s">
        <v>2057</v>
      </c>
      <c r="P2776" s="46" t="s">
        <v>101</v>
      </c>
    </row>
    <row r="2777" spans="15:16" x14ac:dyDescent="0.2">
      <c r="O2777" s="38" t="s">
        <v>1716</v>
      </c>
      <c r="P2777" s="47" t="s">
        <v>100</v>
      </c>
    </row>
    <row r="2778" spans="15:16" x14ac:dyDescent="0.2">
      <c r="O2778" s="37" t="s">
        <v>2058</v>
      </c>
      <c r="P2778" s="46" t="s">
        <v>100</v>
      </c>
    </row>
    <row r="2779" spans="15:16" x14ac:dyDescent="0.2">
      <c r="O2779" s="38" t="s">
        <v>2059</v>
      </c>
      <c r="P2779" s="47" t="s">
        <v>100</v>
      </c>
    </row>
    <row r="2780" spans="15:16" x14ac:dyDescent="0.2">
      <c r="O2780" s="37" t="s">
        <v>1426</v>
      </c>
      <c r="P2780" s="46" t="s">
        <v>100</v>
      </c>
    </row>
    <row r="2781" spans="15:16" x14ac:dyDescent="0.2">
      <c r="O2781" s="38" t="s">
        <v>2060</v>
      </c>
      <c r="P2781" s="47" t="s">
        <v>100</v>
      </c>
    </row>
    <row r="2782" spans="15:16" x14ac:dyDescent="0.2">
      <c r="O2782" s="37" t="s">
        <v>965</v>
      </c>
      <c r="P2782" s="46" t="s">
        <v>100</v>
      </c>
    </row>
    <row r="2783" spans="15:16" x14ac:dyDescent="0.2">
      <c r="O2783" s="38" t="s">
        <v>2061</v>
      </c>
      <c r="P2783" s="47" t="s">
        <v>100</v>
      </c>
    </row>
    <row r="2784" spans="15:16" x14ac:dyDescent="0.2">
      <c r="O2784" s="37" t="s">
        <v>2062</v>
      </c>
      <c r="P2784" s="46" t="s">
        <v>100</v>
      </c>
    </row>
    <row r="2785" spans="15:16" x14ac:dyDescent="0.2">
      <c r="O2785" s="38" t="s">
        <v>619</v>
      </c>
      <c r="P2785" s="47" t="s">
        <v>100</v>
      </c>
    </row>
    <row r="2786" spans="15:16" x14ac:dyDescent="0.2">
      <c r="O2786" s="37" t="s">
        <v>621</v>
      </c>
      <c r="P2786" s="46" t="s">
        <v>100</v>
      </c>
    </row>
    <row r="2787" spans="15:16" x14ac:dyDescent="0.2">
      <c r="O2787" s="38" t="s">
        <v>1248</v>
      </c>
      <c r="P2787" s="47" t="s">
        <v>100</v>
      </c>
    </row>
    <row r="2788" spans="15:16" x14ac:dyDescent="0.2">
      <c r="O2788" s="37" t="s">
        <v>2063</v>
      </c>
      <c r="P2788" s="46" t="s">
        <v>100</v>
      </c>
    </row>
    <row r="2789" spans="15:16" x14ac:dyDescent="0.2">
      <c r="O2789" s="38" t="s">
        <v>881</v>
      </c>
      <c r="P2789" s="47" t="s">
        <v>100</v>
      </c>
    </row>
    <row r="2790" spans="15:16" x14ac:dyDescent="0.2">
      <c r="O2790" s="37" t="s">
        <v>2064</v>
      </c>
      <c r="P2790" s="46" t="s">
        <v>100</v>
      </c>
    </row>
    <row r="2791" spans="15:16" x14ac:dyDescent="0.2">
      <c r="O2791" s="38" t="s">
        <v>428</v>
      </c>
      <c r="P2791" s="47" t="s">
        <v>100</v>
      </c>
    </row>
    <row r="2792" spans="15:16" x14ac:dyDescent="0.2">
      <c r="O2792" s="37" t="s">
        <v>2065</v>
      </c>
      <c r="P2792" s="46" t="s">
        <v>100</v>
      </c>
    </row>
    <row r="2793" spans="15:16" x14ac:dyDescent="0.2">
      <c r="O2793" s="38" t="s">
        <v>2066</v>
      </c>
      <c r="P2793" s="47" t="s">
        <v>100</v>
      </c>
    </row>
    <row r="2794" spans="15:16" x14ac:dyDescent="0.2">
      <c r="O2794" s="37" t="s">
        <v>2067</v>
      </c>
      <c r="P2794" s="46" t="s">
        <v>100</v>
      </c>
    </row>
    <row r="2795" spans="15:16" x14ac:dyDescent="0.2">
      <c r="O2795" s="38" t="s">
        <v>645</v>
      </c>
      <c r="P2795" s="47" t="s">
        <v>100</v>
      </c>
    </row>
    <row r="2796" spans="15:16" x14ac:dyDescent="0.2">
      <c r="O2796" s="37" t="s">
        <v>2068</v>
      </c>
      <c r="P2796" s="46" t="s">
        <v>100</v>
      </c>
    </row>
    <row r="2797" spans="15:16" x14ac:dyDescent="0.2">
      <c r="O2797" s="38" t="s">
        <v>533</v>
      </c>
      <c r="P2797" s="47" t="s">
        <v>100</v>
      </c>
    </row>
    <row r="2798" spans="15:16" x14ac:dyDescent="0.2">
      <c r="O2798" s="37" t="s">
        <v>648</v>
      </c>
      <c r="P2798" s="46" t="s">
        <v>100</v>
      </c>
    </row>
    <row r="2799" spans="15:16" x14ac:dyDescent="0.2">
      <c r="O2799" s="38" t="s">
        <v>2069</v>
      </c>
      <c r="P2799" s="47" t="s">
        <v>100</v>
      </c>
    </row>
    <row r="2800" spans="15:16" x14ac:dyDescent="0.2">
      <c r="O2800" s="37" t="s">
        <v>2070</v>
      </c>
      <c r="P2800" s="46" t="s">
        <v>100</v>
      </c>
    </row>
    <row r="2801" spans="15:16" x14ac:dyDescent="0.2">
      <c r="O2801" s="38" t="s">
        <v>2071</v>
      </c>
      <c r="P2801" s="47" t="s">
        <v>100</v>
      </c>
    </row>
    <row r="2802" spans="15:16" x14ac:dyDescent="0.2">
      <c r="O2802" s="37" t="s">
        <v>2072</v>
      </c>
      <c r="P2802" s="46" t="s">
        <v>100</v>
      </c>
    </row>
    <row r="2803" spans="15:16" x14ac:dyDescent="0.2">
      <c r="O2803" s="38" t="s">
        <v>441</v>
      </c>
      <c r="P2803" s="47" t="s">
        <v>100</v>
      </c>
    </row>
    <row r="2804" spans="15:16" x14ac:dyDescent="0.2">
      <c r="O2804" s="37" t="s">
        <v>814</v>
      </c>
      <c r="P2804" s="46" t="s">
        <v>100</v>
      </c>
    </row>
    <row r="2805" spans="15:16" x14ac:dyDescent="0.2">
      <c r="O2805" s="38" t="s">
        <v>2073</v>
      </c>
      <c r="P2805" s="47" t="s">
        <v>100</v>
      </c>
    </row>
    <row r="2806" spans="15:16" x14ac:dyDescent="0.2">
      <c r="O2806" s="37" t="s">
        <v>2074</v>
      </c>
      <c r="P2806" s="46" t="s">
        <v>99</v>
      </c>
    </row>
    <row r="2807" spans="15:16" x14ac:dyDescent="0.2">
      <c r="O2807" s="38" t="s">
        <v>2075</v>
      </c>
      <c r="P2807" s="47" t="s">
        <v>99</v>
      </c>
    </row>
    <row r="2808" spans="15:16" x14ac:dyDescent="0.2">
      <c r="O2808" s="37" t="s">
        <v>2076</v>
      </c>
      <c r="P2808" s="46" t="s">
        <v>99</v>
      </c>
    </row>
    <row r="2809" spans="15:16" x14ac:dyDescent="0.2">
      <c r="O2809" s="38" t="s">
        <v>2077</v>
      </c>
      <c r="P2809" s="47" t="s">
        <v>99</v>
      </c>
    </row>
    <row r="2810" spans="15:16" x14ac:dyDescent="0.2">
      <c r="O2810" s="37" t="s">
        <v>1216</v>
      </c>
      <c r="P2810" s="46" t="s">
        <v>99</v>
      </c>
    </row>
    <row r="2811" spans="15:16" x14ac:dyDescent="0.2">
      <c r="O2811" s="38" t="s">
        <v>406</v>
      </c>
      <c r="P2811" s="47" t="s">
        <v>99</v>
      </c>
    </row>
    <row r="2812" spans="15:16" x14ac:dyDescent="0.2">
      <c r="O2812" s="37" t="s">
        <v>2078</v>
      </c>
      <c r="P2812" s="46" t="s">
        <v>99</v>
      </c>
    </row>
    <row r="2813" spans="15:16" x14ac:dyDescent="0.2">
      <c r="O2813" s="38" t="s">
        <v>2079</v>
      </c>
      <c r="P2813" s="47" t="s">
        <v>99</v>
      </c>
    </row>
    <row r="2814" spans="15:16" x14ac:dyDescent="0.2">
      <c r="O2814" s="37" t="s">
        <v>569</v>
      </c>
      <c r="P2814" s="46" t="s">
        <v>99</v>
      </c>
    </row>
    <row r="2815" spans="15:16" x14ac:dyDescent="0.2">
      <c r="O2815" s="38" t="s">
        <v>1568</v>
      </c>
      <c r="P2815" s="47" t="s">
        <v>99</v>
      </c>
    </row>
    <row r="2816" spans="15:16" x14ac:dyDescent="0.2">
      <c r="O2816" s="37" t="s">
        <v>2080</v>
      </c>
      <c r="P2816" s="46" t="s">
        <v>99</v>
      </c>
    </row>
    <row r="2817" spans="15:16" x14ac:dyDescent="0.2">
      <c r="O2817" s="38" t="s">
        <v>441</v>
      </c>
      <c r="P2817" s="47" t="s">
        <v>99</v>
      </c>
    </row>
    <row r="2818" spans="15:16" x14ac:dyDescent="0.2">
      <c r="O2818" s="37" t="s">
        <v>658</v>
      </c>
      <c r="P2818" s="46" t="s">
        <v>99</v>
      </c>
    </row>
    <row r="2819" spans="15:16" x14ac:dyDescent="0.2">
      <c r="O2819" s="38" t="s">
        <v>2081</v>
      </c>
      <c r="P2819" s="47" t="s">
        <v>99</v>
      </c>
    </row>
    <row r="2820" spans="15:16" x14ac:dyDescent="0.2">
      <c r="O2820" s="37" t="s">
        <v>2082</v>
      </c>
      <c r="P2820" s="46" t="s">
        <v>98</v>
      </c>
    </row>
    <row r="2821" spans="15:16" x14ac:dyDescent="0.2">
      <c r="O2821" s="38" t="s">
        <v>2083</v>
      </c>
      <c r="P2821" s="47" t="s">
        <v>98</v>
      </c>
    </row>
    <row r="2822" spans="15:16" x14ac:dyDescent="0.2">
      <c r="O2822" s="37" t="s">
        <v>1585</v>
      </c>
      <c r="P2822" s="46" t="s">
        <v>98</v>
      </c>
    </row>
    <row r="2823" spans="15:16" x14ac:dyDescent="0.2">
      <c r="O2823" s="38" t="s">
        <v>2084</v>
      </c>
      <c r="P2823" s="47" t="s">
        <v>98</v>
      </c>
    </row>
    <row r="2824" spans="15:16" x14ac:dyDescent="0.2">
      <c r="O2824" s="37" t="s">
        <v>2085</v>
      </c>
      <c r="P2824" s="46" t="s">
        <v>98</v>
      </c>
    </row>
    <row r="2825" spans="15:16" x14ac:dyDescent="0.2">
      <c r="O2825" s="38" t="s">
        <v>2086</v>
      </c>
      <c r="P2825" s="47" t="s">
        <v>98</v>
      </c>
    </row>
    <row r="2826" spans="15:16" x14ac:dyDescent="0.2">
      <c r="O2826" s="37" t="s">
        <v>2087</v>
      </c>
      <c r="P2826" s="46" t="s">
        <v>98</v>
      </c>
    </row>
    <row r="2827" spans="15:16" x14ac:dyDescent="0.2">
      <c r="O2827" s="38" t="s">
        <v>2088</v>
      </c>
      <c r="P2827" s="47" t="s">
        <v>98</v>
      </c>
    </row>
    <row r="2828" spans="15:16" x14ac:dyDescent="0.2">
      <c r="O2828" s="37" t="s">
        <v>1068</v>
      </c>
      <c r="P2828" s="46" t="s">
        <v>98</v>
      </c>
    </row>
    <row r="2829" spans="15:16" x14ac:dyDescent="0.2">
      <c r="O2829" s="38" t="s">
        <v>1774</v>
      </c>
      <c r="P2829" s="47" t="s">
        <v>98</v>
      </c>
    </row>
    <row r="2830" spans="15:16" x14ac:dyDescent="0.2">
      <c r="O2830" s="37" t="s">
        <v>2089</v>
      </c>
      <c r="P2830" s="46" t="s">
        <v>98</v>
      </c>
    </row>
    <row r="2831" spans="15:16" x14ac:dyDescent="0.2">
      <c r="O2831" s="38" t="s">
        <v>2090</v>
      </c>
      <c r="P2831" s="47" t="s">
        <v>98</v>
      </c>
    </row>
    <row r="2832" spans="15:16" x14ac:dyDescent="0.2">
      <c r="O2832" s="37" t="s">
        <v>1592</v>
      </c>
      <c r="P2832" s="46" t="s">
        <v>98</v>
      </c>
    </row>
    <row r="2833" spans="15:16" x14ac:dyDescent="0.2">
      <c r="O2833" s="38" t="s">
        <v>960</v>
      </c>
      <c r="P2833" s="47" t="s">
        <v>98</v>
      </c>
    </row>
    <row r="2834" spans="15:16" x14ac:dyDescent="0.2">
      <c r="O2834" s="37" t="s">
        <v>2091</v>
      </c>
      <c r="P2834" s="46" t="s">
        <v>98</v>
      </c>
    </row>
    <row r="2835" spans="15:16" x14ac:dyDescent="0.2">
      <c r="O2835" s="38" t="s">
        <v>1078</v>
      </c>
      <c r="P2835" s="47" t="s">
        <v>98</v>
      </c>
    </row>
    <row r="2836" spans="15:16" x14ac:dyDescent="0.2">
      <c r="O2836" s="37" t="s">
        <v>1199</v>
      </c>
      <c r="P2836" s="46" t="s">
        <v>98</v>
      </c>
    </row>
    <row r="2837" spans="15:16" x14ac:dyDescent="0.2">
      <c r="O2837" s="38" t="s">
        <v>490</v>
      </c>
      <c r="P2837" s="47" t="s">
        <v>98</v>
      </c>
    </row>
    <row r="2838" spans="15:16" x14ac:dyDescent="0.2">
      <c r="O2838" s="37" t="s">
        <v>2092</v>
      </c>
      <c r="P2838" s="46" t="s">
        <v>98</v>
      </c>
    </row>
    <row r="2839" spans="15:16" x14ac:dyDescent="0.2">
      <c r="O2839" s="38" t="s">
        <v>670</v>
      </c>
      <c r="P2839" s="47" t="s">
        <v>98</v>
      </c>
    </row>
    <row r="2840" spans="15:16" x14ac:dyDescent="0.2">
      <c r="O2840" s="37" t="s">
        <v>1814</v>
      </c>
      <c r="P2840" s="46" t="s">
        <v>98</v>
      </c>
    </row>
    <row r="2841" spans="15:16" x14ac:dyDescent="0.2">
      <c r="O2841" s="38" t="s">
        <v>389</v>
      </c>
      <c r="P2841" s="47" t="s">
        <v>98</v>
      </c>
    </row>
    <row r="2842" spans="15:16" x14ac:dyDescent="0.2">
      <c r="O2842" s="37" t="s">
        <v>1723</v>
      </c>
      <c r="P2842" s="46" t="s">
        <v>98</v>
      </c>
    </row>
    <row r="2843" spans="15:16" x14ac:dyDescent="0.2">
      <c r="O2843" s="38" t="s">
        <v>2093</v>
      </c>
      <c r="P2843" s="47" t="s">
        <v>98</v>
      </c>
    </row>
    <row r="2844" spans="15:16" x14ac:dyDescent="0.2">
      <c r="O2844" s="37" t="s">
        <v>868</v>
      </c>
      <c r="P2844" s="46" t="s">
        <v>98</v>
      </c>
    </row>
    <row r="2845" spans="15:16" x14ac:dyDescent="0.2">
      <c r="O2845" s="38" t="s">
        <v>2094</v>
      </c>
      <c r="P2845" s="47" t="s">
        <v>98</v>
      </c>
    </row>
    <row r="2846" spans="15:16" x14ac:dyDescent="0.2">
      <c r="O2846" s="37" t="s">
        <v>2095</v>
      </c>
      <c r="P2846" s="46" t="s">
        <v>98</v>
      </c>
    </row>
    <row r="2847" spans="15:16" x14ac:dyDescent="0.2">
      <c r="O2847" s="38" t="s">
        <v>1216</v>
      </c>
      <c r="P2847" s="47" t="s">
        <v>98</v>
      </c>
    </row>
    <row r="2848" spans="15:16" x14ac:dyDescent="0.2">
      <c r="O2848" s="37" t="s">
        <v>2096</v>
      </c>
      <c r="P2848" s="46" t="s">
        <v>98</v>
      </c>
    </row>
    <row r="2849" spans="15:16" x14ac:dyDescent="0.2">
      <c r="O2849" s="38" t="s">
        <v>2097</v>
      </c>
      <c r="P2849" s="47" t="s">
        <v>98</v>
      </c>
    </row>
    <row r="2850" spans="15:16" x14ac:dyDescent="0.2">
      <c r="O2850" s="37" t="s">
        <v>754</v>
      </c>
      <c r="P2850" s="46" t="s">
        <v>98</v>
      </c>
    </row>
    <row r="2851" spans="15:16" x14ac:dyDescent="0.2">
      <c r="O2851" s="38" t="s">
        <v>2098</v>
      </c>
      <c r="P2851" s="47" t="s">
        <v>98</v>
      </c>
    </row>
    <row r="2852" spans="15:16" x14ac:dyDescent="0.2">
      <c r="O2852" s="37" t="s">
        <v>406</v>
      </c>
      <c r="P2852" s="46" t="s">
        <v>98</v>
      </c>
    </row>
    <row r="2853" spans="15:16" x14ac:dyDescent="0.2">
      <c r="O2853" s="38" t="s">
        <v>1203</v>
      </c>
      <c r="P2853" s="47" t="s">
        <v>98</v>
      </c>
    </row>
    <row r="2854" spans="15:16" x14ac:dyDescent="0.2">
      <c r="O2854" s="37" t="s">
        <v>1879</v>
      </c>
      <c r="P2854" s="46" t="s">
        <v>98</v>
      </c>
    </row>
    <row r="2855" spans="15:16" x14ac:dyDescent="0.2">
      <c r="O2855" s="38" t="s">
        <v>1522</v>
      </c>
      <c r="P2855" s="47" t="s">
        <v>98</v>
      </c>
    </row>
    <row r="2856" spans="15:16" x14ac:dyDescent="0.2">
      <c r="O2856" s="37" t="s">
        <v>2099</v>
      </c>
      <c r="P2856" s="46" t="s">
        <v>98</v>
      </c>
    </row>
    <row r="2857" spans="15:16" x14ac:dyDescent="0.2">
      <c r="O2857" s="38" t="s">
        <v>1088</v>
      </c>
      <c r="P2857" s="47" t="s">
        <v>98</v>
      </c>
    </row>
    <row r="2858" spans="15:16" x14ac:dyDescent="0.2">
      <c r="O2858" s="37" t="s">
        <v>408</v>
      </c>
      <c r="P2858" s="46" t="s">
        <v>98</v>
      </c>
    </row>
    <row r="2859" spans="15:16" x14ac:dyDescent="0.2">
      <c r="O2859" s="38" t="s">
        <v>2100</v>
      </c>
      <c r="P2859" s="47" t="s">
        <v>98</v>
      </c>
    </row>
    <row r="2860" spans="15:16" x14ac:dyDescent="0.2">
      <c r="O2860" s="37" t="s">
        <v>1612</v>
      </c>
      <c r="P2860" s="46" t="s">
        <v>98</v>
      </c>
    </row>
    <row r="2861" spans="15:16" x14ac:dyDescent="0.2">
      <c r="O2861" s="38" t="s">
        <v>2101</v>
      </c>
      <c r="P2861" s="47" t="s">
        <v>98</v>
      </c>
    </row>
    <row r="2862" spans="15:16" x14ac:dyDescent="0.2">
      <c r="O2862" s="37" t="s">
        <v>2102</v>
      </c>
      <c r="P2862" s="46" t="s">
        <v>98</v>
      </c>
    </row>
    <row r="2863" spans="15:16" x14ac:dyDescent="0.2">
      <c r="O2863" s="38" t="s">
        <v>410</v>
      </c>
      <c r="P2863" s="47" t="s">
        <v>98</v>
      </c>
    </row>
    <row r="2864" spans="15:16" x14ac:dyDescent="0.2">
      <c r="O2864" s="37" t="s">
        <v>1693</v>
      </c>
      <c r="P2864" s="46" t="s">
        <v>98</v>
      </c>
    </row>
    <row r="2865" spans="15:16" x14ac:dyDescent="0.2">
      <c r="O2865" s="38" t="s">
        <v>2103</v>
      </c>
      <c r="P2865" s="47" t="s">
        <v>98</v>
      </c>
    </row>
    <row r="2866" spans="15:16" x14ac:dyDescent="0.2">
      <c r="O2866" s="37" t="s">
        <v>2104</v>
      </c>
      <c r="P2866" s="46" t="s">
        <v>98</v>
      </c>
    </row>
    <row r="2867" spans="15:16" x14ac:dyDescent="0.2">
      <c r="O2867" s="38" t="s">
        <v>2105</v>
      </c>
      <c r="P2867" s="47" t="s">
        <v>98</v>
      </c>
    </row>
    <row r="2868" spans="15:16" x14ac:dyDescent="0.2">
      <c r="O2868" s="37" t="s">
        <v>2106</v>
      </c>
      <c r="P2868" s="46" t="s">
        <v>98</v>
      </c>
    </row>
    <row r="2869" spans="15:16" x14ac:dyDescent="0.2">
      <c r="O2869" s="38" t="s">
        <v>2107</v>
      </c>
      <c r="P2869" s="47" t="s">
        <v>98</v>
      </c>
    </row>
    <row r="2870" spans="15:16" x14ac:dyDescent="0.2">
      <c r="O2870" s="37" t="s">
        <v>1485</v>
      </c>
      <c r="P2870" s="46" t="s">
        <v>98</v>
      </c>
    </row>
    <row r="2871" spans="15:16" x14ac:dyDescent="0.2">
      <c r="O2871" s="38" t="s">
        <v>417</v>
      </c>
      <c r="P2871" s="47" t="s">
        <v>98</v>
      </c>
    </row>
    <row r="2872" spans="15:16" x14ac:dyDescent="0.2">
      <c r="O2872" s="37" t="s">
        <v>2108</v>
      </c>
      <c r="P2872" s="46" t="s">
        <v>98</v>
      </c>
    </row>
    <row r="2873" spans="15:16" x14ac:dyDescent="0.2">
      <c r="O2873" s="38" t="s">
        <v>976</v>
      </c>
      <c r="P2873" s="47" t="s">
        <v>98</v>
      </c>
    </row>
    <row r="2874" spans="15:16" x14ac:dyDescent="0.2">
      <c r="O2874" s="37" t="s">
        <v>2109</v>
      </c>
      <c r="P2874" s="46" t="s">
        <v>98</v>
      </c>
    </row>
    <row r="2875" spans="15:16" x14ac:dyDescent="0.2">
      <c r="O2875" s="38" t="s">
        <v>421</v>
      </c>
      <c r="P2875" s="47" t="s">
        <v>98</v>
      </c>
    </row>
    <row r="2876" spans="15:16" x14ac:dyDescent="0.2">
      <c r="O2876" s="37" t="s">
        <v>2110</v>
      </c>
      <c r="P2876" s="46" t="s">
        <v>98</v>
      </c>
    </row>
    <row r="2877" spans="15:16" x14ac:dyDescent="0.2">
      <c r="O2877" s="38" t="s">
        <v>1622</v>
      </c>
      <c r="P2877" s="47" t="s">
        <v>98</v>
      </c>
    </row>
    <row r="2878" spans="15:16" x14ac:dyDescent="0.2">
      <c r="O2878" s="37" t="s">
        <v>654</v>
      </c>
      <c r="P2878" s="46" t="s">
        <v>98</v>
      </c>
    </row>
    <row r="2879" spans="15:16" x14ac:dyDescent="0.2">
      <c r="O2879" s="38" t="s">
        <v>427</v>
      </c>
      <c r="P2879" s="47" t="s">
        <v>98</v>
      </c>
    </row>
    <row r="2880" spans="15:16" x14ac:dyDescent="0.2">
      <c r="O2880" s="37" t="s">
        <v>1107</v>
      </c>
      <c r="P2880" s="46" t="s">
        <v>98</v>
      </c>
    </row>
    <row r="2881" spans="15:16" x14ac:dyDescent="0.2">
      <c r="O2881" s="38" t="s">
        <v>2111</v>
      </c>
      <c r="P2881" s="47" t="s">
        <v>98</v>
      </c>
    </row>
    <row r="2882" spans="15:16" x14ac:dyDescent="0.2">
      <c r="O2882" s="37" t="s">
        <v>1626</v>
      </c>
      <c r="P2882" s="46" t="s">
        <v>98</v>
      </c>
    </row>
    <row r="2883" spans="15:16" x14ac:dyDescent="0.2">
      <c r="O2883" s="38" t="s">
        <v>1797</v>
      </c>
      <c r="P2883" s="47" t="s">
        <v>98</v>
      </c>
    </row>
    <row r="2884" spans="15:16" x14ac:dyDescent="0.2">
      <c r="O2884" s="37" t="s">
        <v>2112</v>
      </c>
      <c r="P2884" s="46" t="s">
        <v>98</v>
      </c>
    </row>
    <row r="2885" spans="15:16" x14ac:dyDescent="0.2">
      <c r="O2885" s="38" t="s">
        <v>569</v>
      </c>
      <c r="P2885" s="47" t="s">
        <v>98</v>
      </c>
    </row>
    <row r="2886" spans="15:16" x14ac:dyDescent="0.2">
      <c r="O2886" s="37" t="s">
        <v>984</v>
      </c>
      <c r="P2886" s="46" t="s">
        <v>98</v>
      </c>
    </row>
    <row r="2887" spans="15:16" x14ac:dyDescent="0.2">
      <c r="O2887" s="38" t="s">
        <v>2113</v>
      </c>
      <c r="P2887" s="47" t="s">
        <v>98</v>
      </c>
    </row>
    <row r="2888" spans="15:16" x14ac:dyDescent="0.2">
      <c r="O2888" s="37" t="s">
        <v>2114</v>
      </c>
      <c r="P2888" s="46" t="s">
        <v>98</v>
      </c>
    </row>
    <row r="2889" spans="15:16" x14ac:dyDescent="0.2">
      <c r="O2889" s="38" t="s">
        <v>2115</v>
      </c>
      <c r="P2889" s="47" t="s">
        <v>98</v>
      </c>
    </row>
    <row r="2890" spans="15:16" x14ac:dyDescent="0.2">
      <c r="O2890" s="37" t="s">
        <v>2116</v>
      </c>
      <c r="P2890" s="46" t="s">
        <v>98</v>
      </c>
    </row>
    <row r="2891" spans="15:16" x14ac:dyDescent="0.2">
      <c r="O2891" s="38" t="s">
        <v>2117</v>
      </c>
      <c r="P2891" s="47" t="s">
        <v>98</v>
      </c>
    </row>
    <row r="2892" spans="15:16" x14ac:dyDescent="0.2">
      <c r="O2892" s="37" t="s">
        <v>2118</v>
      </c>
      <c r="P2892" s="46" t="s">
        <v>98</v>
      </c>
    </row>
    <row r="2893" spans="15:16" x14ac:dyDescent="0.2">
      <c r="O2893" s="38" t="s">
        <v>527</v>
      </c>
      <c r="P2893" s="47" t="s">
        <v>98</v>
      </c>
    </row>
    <row r="2894" spans="15:16" x14ac:dyDescent="0.2">
      <c r="O2894" s="37" t="s">
        <v>2119</v>
      </c>
      <c r="P2894" s="46" t="s">
        <v>98</v>
      </c>
    </row>
    <row r="2895" spans="15:16" x14ac:dyDescent="0.2">
      <c r="O2895" s="38" t="s">
        <v>791</v>
      </c>
      <c r="P2895" s="47" t="s">
        <v>98</v>
      </c>
    </row>
    <row r="2896" spans="15:16" x14ac:dyDescent="0.2">
      <c r="O2896" s="37" t="s">
        <v>2120</v>
      </c>
      <c r="P2896" s="46" t="s">
        <v>98</v>
      </c>
    </row>
    <row r="2897" spans="15:16" x14ac:dyDescent="0.2">
      <c r="O2897" s="38" t="s">
        <v>2121</v>
      </c>
      <c r="P2897" s="47" t="s">
        <v>98</v>
      </c>
    </row>
    <row r="2898" spans="15:16" x14ac:dyDescent="0.2">
      <c r="O2898" s="37" t="s">
        <v>1516</v>
      </c>
      <c r="P2898" s="46" t="s">
        <v>98</v>
      </c>
    </row>
    <row r="2899" spans="15:16" x14ac:dyDescent="0.2">
      <c r="O2899" s="38" t="s">
        <v>433</v>
      </c>
      <c r="P2899" s="47" t="s">
        <v>98</v>
      </c>
    </row>
    <row r="2900" spans="15:16" x14ac:dyDescent="0.2">
      <c r="O2900" s="37" t="s">
        <v>530</v>
      </c>
      <c r="P2900" s="46" t="s">
        <v>98</v>
      </c>
    </row>
    <row r="2901" spans="15:16" x14ac:dyDescent="0.2">
      <c r="O2901" s="38" t="s">
        <v>2122</v>
      </c>
      <c r="P2901" s="47" t="s">
        <v>98</v>
      </c>
    </row>
    <row r="2902" spans="15:16" x14ac:dyDescent="0.2">
      <c r="O2902" s="37" t="s">
        <v>2123</v>
      </c>
      <c r="P2902" s="46" t="s">
        <v>98</v>
      </c>
    </row>
    <row r="2903" spans="15:16" x14ac:dyDescent="0.2">
      <c r="O2903" s="38" t="s">
        <v>2124</v>
      </c>
      <c r="P2903" s="47" t="s">
        <v>98</v>
      </c>
    </row>
    <row r="2904" spans="15:16" x14ac:dyDescent="0.2">
      <c r="O2904" s="37" t="s">
        <v>2125</v>
      </c>
      <c r="P2904" s="46" t="s">
        <v>98</v>
      </c>
    </row>
    <row r="2905" spans="15:16" x14ac:dyDescent="0.2">
      <c r="O2905" s="38" t="s">
        <v>1055</v>
      </c>
      <c r="P2905" s="47" t="s">
        <v>98</v>
      </c>
    </row>
    <row r="2906" spans="15:16" x14ac:dyDescent="0.2">
      <c r="O2906" s="37" t="s">
        <v>1639</v>
      </c>
      <c r="P2906" s="46" t="s">
        <v>98</v>
      </c>
    </row>
    <row r="2907" spans="15:16" x14ac:dyDescent="0.2">
      <c r="O2907" s="38" t="s">
        <v>661</v>
      </c>
      <c r="P2907" s="47" t="s">
        <v>98</v>
      </c>
    </row>
    <row r="2908" spans="15:16" x14ac:dyDescent="0.2">
      <c r="O2908" s="37" t="s">
        <v>905</v>
      </c>
      <c r="P2908" s="46" t="s">
        <v>98</v>
      </c>
    </row>
    <row r="2909" spans="15:16" x14ac:dyDescent="0.2">
      <c r="O2909" s="38" t="s">
        <v>813</v>
      </c>
      <c r="P2909" s="47" t="s">
        <v>98</v>
      </c>
    </row>
    <row r="2910" spans="15:16" x14ac:dyDescent="0.2">
      <c r="O2910" s="37" t="s">
        <v>441</v>
      </c>
      <c r="P2910" s="46" t="s">
        <v>98</v>
      </c>
    </row>
    <row r="2911" spans="15:16" x14ac:dyDescent="0.2">
      <c r="O2911" s="38" t="s">
        <v>1804</v>
      </c>
      <c r="P2911" s="47" t="s">
        <v>98</v>
      </c>
    </row>
    <row r="2912" spans="15:16" x14ac:dyDescent="0.2">
      <c r="O2912" s="37" t="s">
        <v>2053</v>
      </c>
      <c r="P2912" s="46" t="s">
        <v>98</v>
      </c>
    </row>
    <row r="2913" spans="15:16" x14ac:dyDescent="0.2">
      <c r="O2913" s="38" t="s">
        <v>2126</v>
      </c>
      <c r="P2913" s="47" t="s">
        <v>98</v>
      </c>
    </row>
    <row r="2914" spans="15:16" x14ac:dyDescent="0.2">
      <c r="O2914" s="37" t="s">
        <v>1194</v>
      </c>
      <c r="P2914" s="46" t="s">
        <v>98</v>
      </c>
    </row>
    <row r="2915" spans="15:16" x14ac:dyDescent="0.2">
      <c r="O2915" s="38" t="s">
        <v>2127</v>
      </c>
      <c r="P2915" s="47" t="s">
        <v>98</v>
      </c>
    </row>
    <row r="2916" spans="15:16" x14ac:dyDescent="0.2">
      <c r="O2916" s="37" t="s">
        <v>2128</v>
      </c>
      <c r="P2916" s="46" t="s">
        <v>98</v>
      </c>
    </row>
    <row r="2917" spans="15:16" x14ac:dyDescent="0.2">
      <c r="O2917" s="38" t="s">
        <v>2129</v>
      </c>
      <c r="P2917" s="47" t="s">
        <v>98</v>
      </c>
    </row>
    <row r="2918" spans="15:16" x14ac:dyDescent="0.2">
      <c r="O2918" s="37" t="s">
        <v>2130</v>
      </c>
      <c r="P2918" s="46" t="s">
        <v>98</v>
      </c>
    </row>
    <row r="2919" spans="15:16" x14ac:dyDescent="0.2">
      <c r="O2919" s="38" t="s">
        <v>2131</v>
      </c>
      <c r="P2919" s="47" t="s">
        <v>98</v>
      </c>
    </row>
    <row r="2920" spans="15:16" x14ac:dyDescent="0.2">
      <c r="O2920" s="37" t="s">
        <v>2132</v>
      </c>
      <c r="P2920" s="46" t="s">
        <v>98</v>
      </c>
    </row>
    <row r="2921" spans="15:16" x14ac:dyDescent="0.2">
      <c r="O2921" s="38" t="s">
        <v>2133</v>
      </c>
      <c r="P2921" s="47" t="s">
        <v>98</v>
      </c>
    </row>
    <row r="2922" spans="15:16" x14ac:dyDescent="0.2">
      <c r="O2922" s="37" t="s">
        <v>2134</v>
      </c>
      <c r="P2922" s="46" t="s">
        <v>98</v>
      </c>
    </row>
    <row r="2923" spans="15:16" x14ac:dyDescent="0.2">
      <c r="O2923" s="38" t="s">
        <v>2135</v>
      </c>
      <c r="P2923" s="47" t="s">
        <v>98</v>
      </c>
    </row>
    <row r="2924" spans="15:16" x14ac:dyDescent="0.2">
      <c r="O2924" s="37" t="s">
        <v>2136</v>
      </c>
      <c r="P2924" s="46" t="s">
        <v>98</v>
      </c>
    </row>
    <row r="2925" spans="15:16" x14ac:dyDescent="0.2">
      <c r="O2925" s="38" t="s">
        <v>2137</v>
      </c>
      <c r="P2925" s="47" t="s">
        <v>98</v>
      </c>
    </row>
    <row r="2926" spans="15:16" x14ac:dyDescent="0.2">
      <c r="O2926" s="37" t="s">
        <v>2138</v>
      </c>
      <c r="P2926" s="46" t="s">
        <v>98</v>
      </c>
    </row>
    <row r="2927" spans="15:16" x14ac:dyDescent="0.2">
      <c r="O2927" s="38" t="s">
        <v>2139</v>
      </c>
      <c r="P2927" s="47" t="s">
        <v>98</v>
      </c>
    </row>
    <row r="2928" spans="15:16" x14ac:dyDescent="0.2">
      <c r="O2928" s="37" t="s">
        <v>2140</v>
      </c>
      <c r="P2928" s="46" t="s">
        <v>98</v>
      </c>
    </row>
    <row r="2929" spans="15:16" x14ac:dyDescent="0.2">
      <c r="O2929" s="38" t="s">
        <v>2141</v>
      </c>
      <c r="P2929" s="47" t="s">
        <v>98</v>
      </c>
    </row>
    <row r="2930" spans="15:16" x14ac:dyDescent="0.2">
      <c r="O2930" s="37" t="s">
        <v>2142</v>
      </c>
      <c r="P2930" s="46" t="s">
        <v>98</v>
      </c>
    </row>
    <row r="2931" spans="15:16" x14ac:dyDescent="0.2">
      <c r="O2931" s="38" t="s">
        <v>2143</v>
      </c>
      <c r="P2931" s="47" t="s">
        <v>98</v>
      </c>
    </row>
    <row r="2932" spans="15:16" x14ac:dyDescent="0.2">
      <c r="O2932" s="37" t="s">
        <v>2144</v>
      </c>
      <c r="P2932" s="46" t="s">
        <v>98</v>
      </c>
    </row>
    <row r="2933" spans="15:16" x14ac:dyDescent="0.2">
      <c r="O2933" s="38" t="s">
        <v>2145</v>
      </c>
      <c r="P2933" s="47" t="s">
        <v>98</v>
      </c>
    </row>
    <row r="2934" spans="15:16" x14ac:dyDescent="0.2">
      <c r="O2934" s="37" t="s">
        <v>2146</v>
      </c>
      <c r="P2934" s="46" t="s">
        <v>98</v>
      </c>
    </row>
    <row r="2935" spans="15:16" x14ac:dyDescent="0.2">
      <c r="O2935" s="38" t="s">
        <v>2147</v>
      </c>
      <c r="P2935" s="47" t="s">
        <v>98</v>
      </c>
    </row>
    <row r="2936" spans="15:16" x14ac:dyDescent="0.2">
      <c r="O2936" s="37" t="s">
        <v>2148</v>
      </c>
      <c r="P2936" s="46" t="s">
        <v>98</v>
      </c>
    </row>
    <row r="2937" spans="15:16" x14ac:dyDescent="0.2">
      <c r="O2937" s="38" t="s">
        <v>2149</v>
      </c>
      <c r="P2937" s="47" t="s">
        <v>98</v>
      </c>
    </row>
    <row r="2938" spans="15:16" x14ac:dyDescent="0.2">
      <c r="O2938" s="37" t="s">
        <v>2150</v>
      </c>
      <c r="P2938" s="46" t="s">
        <v>98</v>
      </c>
    </row>
    <row r="2939" spans="15:16" x14ac:dyDescent="0.2">
      <c r="O2939" s="38" t="s">
        <v>2151</v>
      </c>
      <c r="P2939" s="47" t="s">
        <v>98</v>
      </c>
    </row>
    <row r="2940" spans="15:16" x14ac:dyDescent="0.2">
      <c r="O2940" s="37" t="s">
        <v>2152</v>
      </c>
      <c r="P2940" s="46" t="s">
        <v>98</v>
      </c>
    </row>
    <row r="2941" spans="15:16" x14ac:dyDescent="0.2">
      <c r="O2941" s="38" t="s">
        <v>2153</v>
      </c>
      <c r="P2941" s="47" t="s">
        <v>98</v>
      </c>
    </row>
    <row r="2942" spans="15:16" x14ac:dyDescent="0.2">
      <c r="O2942" s="37" t="s">
        <v>2154</v>
      </c>
      <c r="P2942" s="46" t="s">
        <v>98</v>
      </c>
    </row>
    <row r="2943" spans="15:16" x14ac:dyDescent="0.2">
      <c r="O2943" s="38" t="s">
        <v>2155</v>
      </c>
      <c r="P2943" s="47" t="s">
        <v>98</v>
      </c>
    </row>
    <row r="2944" spans="15:16" x14ac:dyDescent="0.2">
      <c r="O2944" s="37" t="s">
        <v>2156</v>
      </c>
      <c r="P2944" s="46" t="s">
        <v>98</v>
      </c>
    </row>
    <row r="2945" spans="15:16" x14ac:dyDescent="0.2">
      <c r="O2945" s="38" t="s">
        <v>2157</v>
      </c>
      <c r="P2945" s="47" t="s">
        <v>98</v>
      </c>
    </row>
    <row r="2946" spans="15:16" x14ac:dyDescent="0.2">
      <c r="O2946" s="37" t="s">
        <v>2158</v>
      </c>
      <c r="P2946" s="46" t="s">
        <v>98</v>
      </c>
    </row>
    <row r="2947" spans="15:16" x14ac:dyDescent="0.2">
      <c r="O2947" s="38" t="s">
        <v>2159</v>
      </c>
      <c r="P2947" s="47" t="s">
        <v>98</v>
      </c>
    </row>
    <row r="2948" spans="15:16" x14ac:dyDescent="0.2">
      <c r="O2948" s="37" t="s">
        <v>2160</v>
      </c>
      <c r="P2948" s="46" t="s">
        <v>98</v>
      </c>
    </row>
    <row r="2949" spans="15:16" x14ac:dyDescent="0.2">
      <c r="O2949" s="38" t="s">
        <v>2161</v>
      </c>
      <c r="P2949" s="47" t="s">
        <v>98</v>
      </c>
    </row>
    <row r="2950" spans="15:16" x14ac:dyDescent="0.2">
      <c r="O2950" s="37" t="s">
        <v>2162</v>
      </c>
      <c r="P2950" s="46" t="s">
        <v>98</v>
      </c>
    </row>
    <row r="2951" spans="15:16" x14ac:dyDescent="0.2">
      <c r="O2951" s="38" t="s">
        <v>2163</v>
      </c>
      <c r="P2951" s="47" t="s">
        <v>98</v>
      </c>
    </row>
    <row r="2952" spans="15:16" x14ac:dyDescent="0.2">
      <c r="O2952" s="37" t="s">
        <v>2164</v>
      </c>
      <c r="P2952" s="46" t="s">
        <v>98</v>
      </c>
    </row>
    <row r="2953" spans="15:16" x14ac:dyDescent="0.2">
      <c r="O2953" s="38" t="s">
        <v>2165</v>
      </c>
      <c r="P2953" s="47" t="s">
        <v>98</v>
      </c>
    </row>
    <row r="2954" spans="15:16" x14ac:dyDescent="0.2">
      <c r="O2954" s="37" t="s">
        <v>2166</v>
      </c>
      <c r="P2954" s="46" t="s">
        <v>98</v>
      </c>
    </row>
    <row r="2955" spans="15:16" x14ac:dyDescent="0.2">
      <c r="O2955" s="38" t="s">
        <v>2167</v>
      </c>
      <c r="P2955" s="47" t="s">
        <v>98</v>
      </c>
    </row>
    <row r="2956" spans="15:16" x14ac:dyDescent="0.2">
      <c r="O2956" s="37" t="s">
        <v>597</v>
      </c>
      <c r="P2956" s="46" t="s">
        <v>97</v>
      </c>
    </row>
    <row r="2957" spans="15:16" x14ac:dyDescent="0.2">
      <c r="O2957" s="38" t="s">
        <v>2168</v>
      </c>
      <c r="P2957" s="47" t="s">
        <v>97</v>
      </c>
    </row>
    <row r="2958" spans="15:16" x14ac:dyDescent="0.2">
      <c r="O2958" s="37" t="s">
        <v>487</v>
      </c>
      <c r="P2958" s="46" t="s">
        <v>97</v>
      </c>
    </row>
    <row r="2959" spans="15:16" x14ac:dyDescent="0.2">
      <c r="O2959" s="38" t="s">
        <v>2169</v>
      </c>
      <c r="P2959" s="47" t="s">
        <v>97</v>
      </c>
    </row>
    <row r="2960" spans="15:16" x14ac:dyDescent="0.2">
      <c r="O2960" s="37" t="s">
        <v>2170</v>
      </c>
      <c r="P2960" s="46" t="s">
        <v>97</v>
      </c>
    </row>
    <row r="2961" spans="15:16" x14ac:dyDescent="0.2">
      <c r="O2961" s="38" t="s">
        <v>492</v>
      </c>
      <c r="P2961" s="47" t="s">
        <v>97</v>
      </c>
    </row>
    <row r="2962" spans="15:16" x14ac:dyDescent="0.2">
      <c r="O2962" s="37" t="s">
        <v>494</v>
      </c>
      <c r="P2962" s="46" t="s">
        <v>97</v>
      </c>
    </row>
    <row r="2963" spans="15:16" x14ac:dyDescent="0.2">
      <c r="O2963" s="38" t="s">
        <v>2171</v>
      </c>
      <c r="P2963" s="47" t="s">
        <v>97</v>
      </c>
    </row>
    <row r="2964" spans="15:16" x14ac:dyDescent="0.2">
      <c r="O2964" s="37" t="s">
        <v>614</v>
      </c>
      <c r="P2964" s="46" t="s">
        <v>97</v>
      </c>
    </row>
    <row r="2965" spans="15:16" x14ac:dyDescent="0.2">
      <c r="O2965" s="38" t="s">
        <v>2172</v>
      </c>
      <c r="P2965" s="47" t="s">
        <v>97</v>
      </c>
    </row>
    <row r="2966" spans="15:16" x14ac:dyDescent="0.2">
      <c r="O2966" s="37" t="s">
        <v>406</v>
      </c>
      <c r="P2966" s="46" t="s">
        <v>97</v>
      </c>
    </row>
    <row r="2967" spans="15:16" x14ac:dyDescent="0.2">
      <c r="O2967" s="38" t="s">
        <v>619</v>
      </c>
      <c r="P2967" s="47" t="s">
        <v>97</v>
      </c>
    </row>
    <row r="2968" spans="15:16" x14ac:dyDescent="0.2">
      <c r="O2968" s="37" t="s">
        <v>505</v>
      </c>
      <c r="P2968" s="46" t="s">
        <v>97</v>
      </c>
    </row>
    <row r="2969" spans="15:16" x14ac:dyDescent="0.2">
      <c r="O2969" s="38" t="s">
        <v>2173</v>
      </c>
      <c r="P2969" s="47" t="s">
        <v>97</v>
      </c>
    </row>
    <row r="2970" spans="15:16" x14ac:dyDescent="0.2">
      <c r="O2970" s="37" t="s">
        <v>2174</v>
      </c>
      <c r="P2970" s="46" t="s">
        <v>97</v>
      </c>
    </row>
    <row r="2971" spans="15:16" x14ac:dyDescent="0.2">
      <c r="O2971" s="38" t="s">
        <v>413</v>
      </c>
      <c r="P2971" s="47" t="s">
        <v>97</v>
      </c>
    </row>
    <row r="2972" spans="15:16" x14ac:dyDescent="0.2">
      <c r="O2972" s="37" t="s">
        <v>1980</v>
      </c>
      <c r="P2972" s="46" t="s">
        <v>97</v>
      </c>
    </row>
    <row r="2973" spans="15:16" x14ac:dyDescent="0.2">
      <c r="O2973" s="38" t="s">
        <v>2175</v>
      </c>
      <c r="P2973" s="47" t="s">
        <v>97</v>
      </c>
    </row>
    <row r="2974" spans="15:16" x14ac:dyDescent="0.2">
      <c r="O2974" s="37" t="s">
        <v>2176</v>
      </c>
      <c r="P2974" s="46" t="s">
        <v>97</v>
      </c>
    </row>
    <row r="2975" spans="15:16" x14ac:dyDescent="0.2">
      <c r="O2975" s="38" t="s">
        <v>2177</v>
      </c>
      <c r="P2975" s="47" t="s">
        <v>97</v>
      </c>
    </row>
    <row r="2976" spans="15:16" x14ac:dyDescent="0.2">
      <c r="O2976" s="37" t="s">
        <v>848</v>
      </c>
      <c r="P2976" s="46" t="s">
        <v>97</v>
      </c>
    </row>
    <row r="2977" spans="15:16" x14ac:dyDescent="0.2">
      <c r="O2977" s="38" t="s">
        <v>513</v>
      </c>
      <c r="P2977" s="47" t="s">
        <v>97</v>
      </c>
    </row>
    <row r="2978" spans="15:16" x14ac:dyDescent="0.2">
      <c r="O2978" s="37" t="s">
        <v>891</v>
      </c>
      <c r="P2978" s="46" t="s">
        <v>97</v>
      </c>
    </row>
    <row r="2979" spans="15:16" x14ac:dyDescent="0.2">
      <c r="O2979" s="38" t="s">
        <v>2178</v>
      </c>
      <c r="P2979" s="47" t="s">
        <v>97</v>
      </c>
    </row>
    <row r="2980" spans="15:16" x14ac:dyDescent="0.2">
      <c r="O2980" s="37" t="s">
        <v>2179</v>
      </c>
      <c r="P2980" s="46" t="s">
        <v>97</v>
      </c>
    </row>
    <row r="2981" spans="15:16" x14ac:dyDescent="0.2">
      <c r="O2981" s="38" t="s">
        <v>2180</v>
      </c>
      <c r="P2981" s="47" t="s">
        <v>97</v>
      </c>
    </row>
    <row r="2982" spans="15:16" x14ac:dyDescent="0.2">
      <c r="O2982" s="37" t="s">
        <v>788</v>
      </c>
      <c r="P2982" s="46" t="s">
        <v>97</v>
      </c>
    </row>
    <row r="2983" spans="15:16" x14ac:dyDescent="0.2">
      <c r="O2983" s="38" t="s">
        <v>645</v>
      </c>
      <c r="P2983" s="47" t="s">
        <v>97</v>
      </c>
    </row>
    <row r="2984" spans="15:16" x14ac:dyDescent="0.2">
      <c r="O2984" s="37" t="s">
        <v>2181</v>
      </c>
      <c r="P2984" s="46" t="s">
        <v>97</v>
      </c>
    </row>
    <row r="2985" spans="15:16" x14ac:dyDescent="0.2">
      <c r="O2985" s="38" t="s">
        <v>2182</v>
      </c>
      <c r="P2985" s="47" t="s">
        <v>97</v>
      </c>
    </row>
    <row r="2986" spans="15:16" x14ac:dyDescent="0.2">
      <c r="O2986" s="37" t="s">
        <v>2183</v>
      </c>
      <c r="P2986" s="46" t="s">
        <v>97</v>
      </c>
    </row>
    <row r="2987" spans="15:16" x14ac:dyDescent="0.2">
      <c r="O2987" s="38" t="s">
        <v>2184</v>
      </c>
      <c r="P2987" s="47" t="s">
        <v>97</v>
      </c>
    </row>
    <row r="2988" spans="15:16" x14ac:dyDescent="0.2">
      <c r="O2988" s="37" t="s">
        <v>1057</v>
      </c>
      <c r="P2988" s="46" t="s">
        <v>97</v>
      </c>
    </row>
    <row r="2989" spans="15:16" x14ac:dyDescent="0.2">
      <c r="O2989" s="38" t="s">
        <v>1499</v>
      </c>
      <c r="P2989" s="47" t="s">
        <v>97</v>
      </c>
    </row>
    <row r="2990" spans="15:16" x14ac:dyDescent="0.2">
      <c r="O2990" s="37" t="s">
        <v>2185</v>
      </c>
      <c r="P2990" s="46" t="s">
        <v>97</v>
      </c>
    </row>
    <row r="2991" spans="15:16" x14ac:dyDescent="0.2">
      <c r="O2991" s="38" t="s">
        <v>2186</v>
      </c>
      <c r="P2991" s="47" t="s">
        <v>97</v>
      </c>
    </row>
    <row r="2992" spans="15:16" x14ac:dyDescent="0.2">
      <c r="O2992" s="37" t="s">
        <v>2187</v>
      </c>
      <c r="P2992" s="46" t="s">
        <v>97</v>
      </c>
    </row>
    <row r="2993" spans="15:16" x14ac:dyDescent="0.2">
      <c r="O2993" s="38" t="s">
        <v>2188</v>
      </c>
      <c r="P2993" s="47" t="s">
        <v>97</v>
      </c>
    </row>
    <row r="2994" spans="15:16" x14ac:dyDescent="0.2">
      <c r="O2994" s="37" t="s">
        <v>2189</v>
      </c>
      <c r="P2994" s="46" t="s">
        <v>97</v>
      </c>
    </row>
    <row r="2995" spans="15:16" x14ac:dyDescent="0.2">
      <c r="O2995" s="38" t="s">
        <v>379</v>
      </c>
      <c r="P2995" s="47" t="s">
        <v>96</v>
      </c>
    </row>
    <row r="2996" spans="15:16" x14ac:dyDescent="0.2">
      <c r="O2996" s="37" t="s">
        <v>1812</v>
      </c>
      <c r="P2996" s="46" t="s">
        <v>96</v>
      </c>
    </row>
    <row r="2997" spans="15:16" x14ac:dyDescent="0.2">
      <c r="O2997" s="38" t="s">
        <v>488</v>
      </c>
      <c r="P2997" s="47" t="s">
        <v>96</v>
      </c>
    </row>
    <row r="2998" spans="15:16" x14ac:dyDescent="0.2">
      <c r="O2998" s="37" t="s">
        <v>2190</v>
      </c>
      <c r="P2998" s="46" t="s">
        <v>96</v>
      </c>
    </row>
    <row r="2999" spans="15:16" x14ac:dyDescent="0.2">
      <c r="O2999" s="38" t="s">
        <v>2191</v>
      </c>
      <c r="P2999" s="47" t="s">
        <v>96</v>
      </c>
    </row>
    <row r="3000" spans="15:16" x14ac:dyDescent="0.2">
      <c r="O3000" s="37" t="s">
        <v>2192</v>
      </c>
      <c r="P3000" s="46" t="s">
        <v>96</v>
      </c>
    </row>
    <row r="3001" spans="15:16" x14ac:dyDescent="0.2">
      <c r="O3001" s="38" t="s">
        <v>384</v>
      </c>
      <c r="P3001" s="47" t="s">
        <v>96</v>
      </c>
    </row>
    <row r="3002" spans="15:16" x14ac:dyDescent="0.2">
      <c r="O3002" s="37" t="s">
        <v>390</v>
      </c>
      <c r="P3002" s="46" t="s">
        <v>96</v>
      </c>
    </row>
    <row r="3003" spans="15:16" x14ac:dyDescent="0.2">
      <c r="O3003" s="38" t="s">
        <v>2193</v>
      </c>
      <c r="P3003" s="47" t="s">
        <v>96</v>
      </c>
    </row>
    <row r="3004" spans="15:16" x14ac:dyDescent="0.2">
      <c r="O3004" s="37" t="s">
        <v>405</v>
      </c>
      <c r="P3004" s="46" t="s">
        <v>96</v>
      </c>
    </row>
    <row r="3005" spans="15:16" x14ac:dyDescent="0.2">
      <c r="O3005" s="38" t="s">
        <v>756</v>
      </c>
      <c r="P3005" s="47" t="s">
        <v>96</v>
      </c>
    </row>
    <row r="3006" spans="15:16" x14ac:dyDescent="0.2">
      <c r="O3006" s="37" t="s">
        <v>505</v>
      </c>
      <c r="P3006" s="46" t="s">
        <v>96</v>
      </c>
    </row>
    <row r="3007" spans="15:16" x14ac:dyDescent="0.2">
      <c r="O3007" s="38" t="s">
        <v>2194</v>
      </c>
      <c r="P3007" s="47" t="s">
        <v>96</v>
      </c>
    </row>
    <row r="3008" spans="15:16" x14ac:dyDescent="0.2">
      <c r="O3008" s="37" t="s">
        <v>1218</v>
      </c>
      <c r="P3008" s="46" t="s">
        <v>96</v>
      </c>
    </row>
    <row r="3009" spans="15:16" x14ac:dyDescent="0.2">
      <c r="O3009" s="38" t="s">
        <v>764</v>
      </c>
      <c r="P3009" s="47" t="s">
        <v>96</v>
      </c>
    </row>
    <row r="3010" spans="15:16" x14ac:dyDescent="0.2">
      <c r="O3010" s="37" t="s">
        <v>2195</v>
      </c>
      <c r="P3010" s="46" t="s">
        <v>96</v>
      </c>
    </row>
    <row r="3011" spans="15:16" x14ac:dyDescent="0.2">
      <c r="O3011" s="38" t="s">
        <v>923</v>
      </c>
      <c r="P3011" s="47" t="s">
        <v>96</v>
      </c>
    </row>
    <row r="3012" spans="15:16" x14ac:dyDescent="0.2">
      <c r="O3012" s="37" t="s">
        <v>412</v>
      </c>
      <c r="P3012" s="46" t="s">
        <v>96</v>
      </c>
    </row>
    <row r="3013" spans="15:16" x14ac:dyDescent="0.2">
      <c r="O3013" s="38" t="s">
        <v>413</v>
      </c>
      <c r="P3013" s="47" t="s">
        <v>96</v>
      </c>
    </row>
    <row r="3014" spans="15:16" x14ac:dyDescent="0.2">
      <c r="O3014" s="37" t="s">
        <v>2196</v>
      </c>
      <c r="P3014" s="46" t="s">
        <v>96</v>
      </c>
    </row>
    <row r="3015" spans="15:16" x14ac:dyDescent="0.2">
      <c r="O3015" s="38" t="s">
        <v>848</v>
      </c>
      <c r="P3015" s="47" t="s">
        <v>96</v>
      </c>
    </row>
    <row r="3016" spans="15:16" x14ac:dyDescent="0.2">
      <c r="O3016" s="37" t="s">
        <v>513</v>
      </c>
      <c r="P3016" s="46" t="s">
        <v>96</v>
      </c>
    </row>
    <row r="3017" spans="15:16" x14ac:dyDescent="0.2">
      <c r="O3017" s="38" t="s">
        <v>515</v>
      </c>
      <c r="P3017" s="47" t="s">
        <v>96</v>
      </c>
    </row>
    <row r="3018" spans="15:16" x14ac:dyDescent="0.2">
      <c r="O3018" s="37" t="s">
        <v>1621</v>
      </c>
      <c r="P3018" s="46" t="s">
        <v>96</v>
      </c>
    </row>
    <row r="3019" spans="15:16" x14ac:dyDescent="0.2">
      <c r="O3019" s="38" t="s">
        <v>423</v>
      </c>
      <c r="P3019" s="47" t="s">
        <v>96</v>
      </c>
    </row>
    <row r="3020" spans="15:16" x14ac:dyDescent="0.2">
      <c r="O3020" s="37" t="s">
        <v>424</v>
      </c>
      <c r="P3020" s="46" t="s">
        <v>96</v>
      </c>
    </row>
    <row r="3021" spans="15:16" x14ac:dyDescent="0.2">
      <c r="O3021" s="38" t="s">
        <v>891</v>
      </c>
      <c r="P3021" s="47" t="s">
        <v>96</v>
      </c>
    </row>
    <row r="3022" spans="15:16" x14ac:dyDescent="0.2">
      <c r="O3022" s="37" t="s">
        <v>894</v>
      </c>
      <c r="P3022" s="46" t="s">
        <v>96</v>
      </c>
    </row>
    <row r="3023" spans="15:16" x14ac:dyDescent="0.2">
      <c r="O3023" s="38" t="s">
        <v>631</v>
      </c>
      <c r="P3023" s="47" t="s">
        <v>96</v>
      </c>
    </row>
    <row r="3024" spans="15:16" x14ac:dyDescent="0.2">
      <c r="O3024" s="37" t="s">
        <v>2197</v>
      </c>
      <c r="P3024" s="46" t="s">
        <v>96</v>
      </c>
    </row>
    <row r="3025" spans="15:16" x14ac:dyDescent="0.2">
      <c r="O3025" s="38" t="s">
        <v>2198</v>
      </c>
      <c r="P3025" s="47" t="s">
        <v>96</v>
      </c>
    </row>
    <row r="3026" spans="15:16" x14ac:dyDescent="0.2">
      <c r="O3026" s="37" t="s">
        <v>426</v>
      </c>
      <c r="P3026" s="46" t="s">
        <v>96</v>
      </c>
    </row>
    <row r="3027" spans="15:16" x14ac:dyDescent="0.2">
      <c r="O3027" s="38" t="s">
        <v>428</v>
      </c>
      <c r="P3027" s="47" t="s">
        <v>96</v>
      </c>
    </row>
    <row r="3028" spans="15:16" x14ac:dyDescent="0.2">
      <c r="O3028" s="37" t="s">
        <v>1108</v>
      </c>
      <c r="P3028" s="46" t="s">
        <v>96</v>
      </c>
    </row>
    <row r="3029" spans="15:16" x14ac:dyDescent="0.2">
      <c r="O3029" s="38" t="s">
        <v>933</v>
      </c>
      <c r="P3029" s="47" t="s">
        <v>96</v>
      </c>
    </row>
    <row r="3030" spans="15:16" x14ac:dyDescent="0.2">
      <c r="O3030" s="37" t="s">
        <v>1111</v>
      </c>
      <c r="P3030" s="46" t="s">
        <v>96</v>
      </c>
    </row>
    <row r="3031" spans="15:16" x14ac:dyDescent="0.2">
      <c r="O3031" s="38" t="s">
        <v>2199</v>
      </c>
      <c r="P3031" s="47" t="s">
        <v>96</v>
      </c>
    </row>
    <row r="3032" spans="15:16" x14ac:dyDescent="0.2">
      <c r="O3032" s="37" t="s">
        <v>987</v>
      </c>
      <c r="P3032" s="46" t="s">
        <v>96</v>
      </c>
    </row>
    <row r="3033" spans="15:16" x14ac:dyDescent="0.2">
      <c r="O3033" s="38" t="s">
        <v>2200</v>
      </c>
      <c r="P3033" s="47" t="s">
        <v>96</v>
      </c>
    </row>
    <row r="3034" spans="15:16" x14ac:dyDescent="0.2">
      <c r="O3034" s="37" t="s">
        <v>702</v>
      </c>
      <c r="P3034" s="46" t="s">
        <v>96</v>
      </c>
    </row>
    <row r="3035" spans="15:16" x14ac:dyDescent="0.2">
      <c r="O3035" s="38" t="s">
        <v>2201</v>
      </c>
      <c r="P3035" s="47" t="s">
        <v>96</v>
      </c>
    </row>
    <row r="3036" spans="15:16" x14ac:dyDescent="0.2">
      <c r="O3036" s="37" t="s">
        <v>432</v>
      </c>
      <c r="P3036" s="46" t="s">
        <v>96</v>
      </c>
    </row>
    <row r="3037" spans="15:16" x14ac:dyDescent="0.2">
      <c r="O3037" s="38" t="s">
        <v>2202</v>
      </c>
      <c r="P3037" s="47" t="s">
        <v>96</v>
      </c>
    </row>
    <row r="3038" spans="15:16" x14ac:dyDescent="0.2">
      <c r="O3038" s="37" t="s">
        <v>1892</v>
      </c>
      <c r="P3038" s="46" t="s">
        <v>96</v>
      </c>
    </row>
    <row r="3039" spans="15:16" x14ac:dyDescent="0.2">
      <c r="O3039" s="38" t="s">
        <v>2203</v>
      </c>
      <c r="P3039" s="47" t="s">
        <v>96</v>
      </c>
    </row>
    <row r="3040" spans="15:16" x14ac:dyDescent="0.2">
      <c r="O3040" s="37" t="s">
        <v>709</v>
      </c>
      <c r="P3040" s="46" t="s">
        <v>96</v>
      </c>
    </row>
    <row r="3041" spans="15:16" x14ac:dyDescent="0.2">
      <c r="O3041" s="38" t="s">
        <v>2204</v>
      </c>
      <c r="P3041" s="47" t="s">
        <v>96</v>
      </c>
    </row>
    <row r="3042" spans="15:16" x14ac:dyDescent="0.2">
      <c r="O3042" s="37" t="s">
        <v>2040</v>
      </c>
      <c r="P3042" s="46" t="s">
        <v>96</v>
      </c>
    </row>
    <row r="3043" spans="15:16" x14ac:dyDescent="0.2">
      <c r="O3043" s="38" t="s">
        <v>2041</v>
      </c>
      <c r="P3043" s="47" t="s">
        <v>96</v>
      </c>
    </row>
    <row r="3044" spans="15:16" x14ac:dyDescent="0.2">
      <c r="O3044" s="37" t="s">
        <v>814</v>
      </c>
      <c r="P3044" s="46" t="s">
        <v>96</v>
      </c>
    </row>
    <row r="3045" spans="15:16" x14ac:dyDescent="0.2">
      <c r="O3045" s="38" t="s">
        <v>815</v>
      </c>
      <c r="P3045" s="47" t="s">
        <v>96</v>
      </c>
    </row>
    <row r="3046" spans="15:16" x14ac:dyDescent="0.2">
      <c r="O3046" s="37" t="s">
        <v>2205</v>
      </c>
      <c r="P3046" s="46" t="s">
        <v>96</v>
      </c>
    </row>
    <row r="3047" spans="15:16" x14ac:dyDescent="0.2">
      <c r="O3047" s="38" t="s">
        <v>2206</v>
      </c>
      <c r="P3047" s="47" t="s">
        <v>96</v>
      </c>
    </row>
    <row r="3048" spans="15:16" x14ac:dyDescent="0.2">
      <c r="O3048" s="37" t="s">
        <v>1712</v>
      </c>
      <c r="P3048" s="46" t="s">
        <v>96</v>
      </c>
    </row>
    <row r="3049" spans="15:16" x14ac:dyDescent="0.2">
      <c r="O3049" s="38" t="s">
        <v>1582</v>
      </c>
      <c r="P3049" s="47" t="s">
        <v>96</v>
      </c>
    </row>
    <row r="3050" spans="15:16" x14ac:dyDescent="0.2">
      <c r="O3050" s="37" t="s">
        <v>597</v>
      </c>
      <c r="P3050" s="46" t="s">
        <v>95</v>
      </c>
    </row>
    <row r="3051" spans="15:16" x14ac:dyDescent="0.2">
      <c r="O3051" s="38" t="s">
        <v>1679</v>
      </c>
      <c r="P3051" s="47" t="s">
        <v>95</v>
      </c>
    </row>
    <row r="3052" spans="15:16" x14ac:dyDescent="0.2">
      <c r="O3052" s="37" t="s">
        <v>2207</v>
      </c>
      <c r="P3052" s="46" t="s">
        <v>95</v>
      </c>
    </row>
    <row r="3053" spans="15:16" x14ac:dyDescent="0.2">
      <c r="O3053" s="38" t="s">
        <v>2208</v>
      </c>
      <c r="P3053" s="47" t="s">
        <v>95</v>
      </c>
    </row>
    <row r="3054" spans="15:16" x14ac:dyDescent="0.2">
      <c r="O3054" s="37" t="s">
        <v>861</v>
      </c>
      <c r="P3054" s="46" t="s">
        <v>95</v>
      </c>
    </row>
    <row r="3055" spans="15:16" x14ac:dyDescent="0.2">
      <c r="O3055" s="38" t="s">
        <v>1464</v>
      </c>
      <c r="P3055" s="47" t="s">
        <v>95</v>
      </c>
    </row>
    <row r="3056" spans="15:16" x14ac:dyDescent="0.2">
      <c r="O3056" s="37" t="s">
        <v>2209</v>
      </c>
      <c r="P3056" s="46" t="s">
        <v>95</v>
      </c>
    </row>
    <row r="3057" spans="15:16" x14ac:dyDescent="0.2">
      <c r="O3057" s="38" t="s">
        <v>2210</v>
      </c>
      <c r="P3057" s="47" t="s">
        <v>95</v>
      </c>
    </row>
    <row r="3058" spans="15:16" x14ac:dyDescent="0.2">
      <c r="O3058" s="37" t="s">
        <v>1234</v>
      </c>
      <c r="P3058" s="46" t="s">
        <v>95</v>
      </c>
    </row>
    <row r="3059" spans="15:16" x14ac:dyDescent="0.2">
      <c r="O3059" s="38" t="s">
        <v>492</v>
      </c>
      <c r="P3059" s="47" t="s">
        <v>95</v>
      </c>
    </row>
    <row r="3060" spans="15:16" x14ac:dyDescent="0.2">
      <c r="O3060" s="37" t="s">
        <v>494</v>
      </c>
      <c r="P3060" s="46" t="s">
        <v>95</v>
      </c>
    </row>
    <row r="3061" spans="15:16" x14ac:dyDescent="0.2">
      <c r="O3061" s="38" t="s">
        <v>497</v>
      </c>
      <c r="P3061" s="47" t="s">
        <v>95</v>
      </c>
    </row>
    <row r="3062" spans="15:16" x14ac:dyDescent="0.2">
      <c r="O3062" s="37" t="s">
        <v>2211</v>
      </c>
      <c r="P3062" s="46" t="s">
        <v>95</v>
      </c>
    </row>
    <row r="3063" spans="15:16" x14ac:dyDescent="0.2">
      <c r="O3063" s="38" t="s">
        <v>745</v>
      </c>
      <c r="P3063" s="47" t="s">
        <v>95</v>
      </c>
    </row>
    <row r="3064" spans="15:16" x14ac:dyDescent="0.2">
      <c r="O3064" s="37" t="s">
        <v>2212</v>
      </c>
      <c r="P3064" s="46" t="s">
        <v>95</v>
      </c>
    </row>
    <row r="3065" spans="15:16" x14ac:dyDescent="0.2">
      <c r="O3065" s="38" t="s">
        <v>614</v>
      </c>
      <c r="P3065" s="47" t="s">
        <v>95</v>
      </c>
    </row>
    <row r="3066" spans="15:16" x14ac:dyDescent="0.2">
      <c r="O3066" s="37" t="s">
        <v>1657</v>
      </c>
      <c r="P3066" s="46" t="s">
        <v>95</v>
      </c>
    </row>
    <row r="3067" spans="15:16" x14ac:dyDescent="0.2">
      <c r="O3067" s="38" t="s">
        <v>2213</v>
      </c>
      <c r="P3067" s="47" t="s">
        <v>95</v>
      </c>
    </row>
    <row r="3068" spans="15:16" x14ac:dyDescent="0.2">
      <c r="O3068" s="37" t="s">
        <v>1820</v>
      </c>
      <c r="P3068" s="46" t="s">
        <v>95</v>
      </c>
    </row>
    <row r="3069" spans="15:16" x14ac:dyDescent="0.2">
      <c r="O3069" s="38" t="s">
        <v>2214</v>
      </c>
      <c r="P3069" s="47" t="s">
        <v>95</v>
      </c>
    </row>
    <row r="3070" spans="15:16" x14ac:dyDescent="0.2">
      <c r="O3070" s="37" t="s">
        <v>1785</v>
      </c>
      <c r="P3070" s="46" t="s">
        <v>95</v>
      </c>
    </row>
    <row r="3071" spans="15:16" x14ac:dyDescent="0.2">
      <c r="O3071" s="38" t="s">
        <v>505</v>
      </c>
      <c r="P3071" s="47" t="s">
        <v>95</v>
      </c>
    </row>
    <row r="3072" spans="15:16" x14ac:dyDescent="0.2">
      <c r="O3072" s="37" t="s">
        <v>1089</v>
      </c>
      <c r="P3072" s="46" t="s">
        <v>95</v>
      </c>
    </row>
    <row r="3073" spans="15:16" x14ac:dyDescent="0.2">
      <c r="O3073" s="38" t="s">
        <v>2215</v>
      </c>
      <c r="P3073" s="47" t="s">
        <v>95</v>
      </c>
    </row>
    <row r="3074" spans="15:16" x14ac:dyDescent="0.2">
      <c r="O3074" s="37" t="s">
        <v>972</v>
      </c>
      <c r="P3074" s="46" t="s">
        <v>95</v>
      </c>
    </row>
    <row r="3075" spans="15:16" x14ac:dyDescent="0.2">
      <c r="O3075" s="38" t="s">
        <v>1248</v>
      </c>
      <c r="P3075" s="47" t="s">
        <v>95</v>
      </c>
    </row>
    <row r="3076" spans="15:16" x14ac:dyDescent="0.2">
      <c r="O3076" s="37" t="s">
        <v>412</v>
      </c>
      <c r="P3076" s="46" t="s">
        <v>95</v>
      </c>
    </row>
    <row r="3077" spans="15:16" x14ac:dyDescent="0.2">
      <c r="O3077" s="38" t="s">
        <v>413</v>
      </c>
      <c r="P3077" s="47" t="s">
        <v>95</v>
      </c>
    </row>
    <row r="3078" spans="15:16" x14ac:dyDescent="0.2">
      <c r="O3078" s="37" t="s">
        <v>2216</v>
      </c>
      <c r="P3078" s="46" t="s">
        <v>95</v>
      </c>
    </row>
    <row r="3079" spans="15:16" x14ac:dyDescent="0.2">
      <c r="O3079" s="38" t="s">
        <v>2217</v>
      </c>
      <c r="P3079" s="47" t="s">
        <v>95</v>
      </c>
    </row>
    <row r="3080" spans="15:16" x14ac:dyDescent="0.2">
      <c r="O3080" s="37" t="s">
        <v>2218</v>
      </c>
      <c r="P3080" s="46" t="s">
        <v>95</v>
      </c>
    </row>
    <row r="3081" spans="15:16" x14ac:dyDescent="0.2">
      <c r="O3081" s="38" t="s">
        <v>2219</v>
      </c>
      <c r="P3081" s="47" t="s">
        <v>95</v>
      </c>
    </row>
    <row r="3082" spans="15:16" x14ac:dyDescent="0.2">
      <c r="O3082" s="37" t="s">
        <v>512</v>
      </c>
      <c r="P3082" s="46" t="s">
        <v>95</v>
      </c>
    </row>
    <row r="3083" spans="15:16" x14ac:dyDescent="0.2">
      <c r="O3083" s="38" t="s">
        <v>2220</v>
      </c>
      <c r="P3083" s="47" t="s">
        <v>95</v>
      </c>
    </row>
    <row r="3084" spans="15:16" x14ac:dyDescent="0.2">
      <c r="O3084" s="37" t="s">
        <v>513</v>
      </c>
      <c r="P3084" s="46" t="s">
        <v>95</v>
      </c>
    </row>
    <row r="3085" spans="15:16" x14ac:dyDescent="0.2">
      <c r="O3085" s="38" t="s">
        <v>2221</v>
      </c>
      <c r="P3085" s="47" t="s">
        <v>95</v>
      </c>
    </row>
    <row r="3086" spans="15:16" x14ac:dyDescent="0.2">
      <c r="O3086" s="37" t="s">
        <v>2222</v>
      </c>
      <c r="P3086" s="46" t="s">
        <v>95</v>
      </c>
    </row>
    <row r="3087" spans="15:16" x14ac:dyDescent="0.2">
      <c r="O3087" s="38" t="s">
        <v>2223</v>
      </c>
      <c r="P3087" s="47" t="s">
        <v>95</v>
      </c>
    </row>
    <row r="3088" spans="15:16" x14ac:dyDescent="0.2">
      <c r="O3088" s="37" t="s">
        <v>1260</v>
      </c>
      <c r="P3088" s="46" t="s">
        <v>95</v>
      </c>
    </row>
    <row r="3089" spans="15:16" x14ac:dyDescent="0.2">
      <c r="O3089" s="38" t="s">
        <v>1262</v>
      </c>
      <c r="P3089" s="47" t="s">
        <v>95</v>
      </c>
    </row>
    <row r="3090" spans="15:16" x14ac:dyDescent="0.2">
      <c r="O3090" s="37" t="s">
        <v>2224</v>
      </c>
      <c r="P3090" s="46" t="s">
        <v>95</v>
      </c>
    </row>
    <row r="3091" spans="15:16" x14ac:dyDescent="0.2">
      <c r="O3091" s="38" t="s">
        <v>426</v>
      </c>
      <c r="P3091" s="47" t="s">
        <v>95</v>
      </c>
    </row>
    <row r="3092" spans="15:16" x14ac:dyDescent="0.2">
      <c r="O3092" s="37" t="s">
        <v>2225</v>
      </c>
      <c r="P3092" s="46" t="s">
        <v>95</v>
      </c>
    </row>
    <row r="3093" spans="15:16" x14ac:dyDescent="0.2">
      <c r="O3093" s="38" t="s">
        <v>851</v>
      </c>
      <c r="P3093" s="47" t="s">
        <v>95</v>
      </c>
    </row>
    <row r="3094" spans="15:16" x14ac:dyDescent="0.2">
      <c r="O3094" s="37" t="s">
        <v>2226</v>
      </c>
      <c r="P3094" s="46" t="s">
        <v>95</v>
      </c>
    </row>
    <row r="3095" spans="15:16" x14ac:dyDescent="0.2">
      <c r="O3095" s="38" t="s">
        <v>2227</v>
      </c>
      <c r="P3095" s="47" t="s">
        <v>95</v>
      </c>
    </row>
    <row r="3096" spans="15:16" x14ac:dyDescent="0.2">
      <c r="O3096" s="37" t="s">
        <v>2228</v>
      </c>
      <c r="P3096" s="46" t="s">
        <v>95</v>
      </c>
    </row>
    <row r="3097" spans="15:16" x14ac:dyDescent="0.2">
      <c r="O3097" s="38" t="s">
        <v>788</v>
      </c>
      <c r="P3097" s="47" t="s">
        <v>95</v>
      </c>
    </row>
    <row r="3098" spans="15:16" x14ac:dyDescent="0.2">
      <c r="O3098" s="37" t="s">
        <v>524</v>
      </c>
      <c r="P3098" s="46" t="s">
        <v>95</v>
      </c>
    </row>
    <row r="3099" spans="15:16" x14ac:dyDescent="0.2">
      <c r="O3099" s="38" t="s">
        <v>1703</v>
      </c>
      <c r="P3099" s="47" t="s">
        <v>95</v>
      </c>
    </row>
    <row r="3100" spans="15:16" x14ac:dyDescent="0.2">
      <c r="O3100" s="37" t="s">
        <v>2229</v>
      </c>
      <c r="P3100" s="46" t="s">
        <v>95</v>
      </c>
    </row>
    <row r="3101" spans="15:16" x14ac:dyDescent="0.2">
      <c r="O3101" s="38" t="s">
        <v>2230</v>
      </c>
      <c r="P3101" s="47" t="s">
        <v>95</v>
      </c>
    </row>
    <row r="3102" spans="15:16" x14ac:dyDescent="0.2">
      <c r="O3102" s="37" t="s">
        <v>899</v>
      </c>
      <c r="P3102" s="46" t="s">
        <v>95</v>
      </c>
    </row>
    <row r="3103" spans="15:16" x14ac:dyDescent="0.2">
      <c r="O3103" s="38" t="s">
        <v>1329</v>
      </c>
      <c r="P3103" s="47" t="s">
        <v>95</v>
      </c>
    </row>
    <row r="3104" spans="15:16" x14ac:dyDescent="0.2">
      <c r="O3104" s="37" t="s">
        <v>2019</v>
      </c>
      <c r="P3104" s="46" t="s">
        <v>95</v>
      </c>
    </row>
    <row r="3105" spans="15:16" x14ac:dyDescent="0.2">
      <c r="O3105" s="38" t="s">
        <v>2231</v>
      </c>
      <c r="P3105" s="47" t="s">
        <v>95</v>
      </c>
    </row>
    <row r="3106" spans="15:16" x14ac:dyDescent="0.2">
      <c r="O3106" s="37" t="s">
        <v>2232</v>
      </c>
      <c r="P3106" s="46" t="s">
        <v>95</v>
      </c>
    </row>
    <row r="3107" spans="15:16" x14ac:dyDescent="0.2">
      <c r="O3107" s="38" t="s">
        <v>2233</v>
      </c>
      <c r="P3107" s="47" t="s">
        <v>95</v>
      </c>
    </row>
    <row r="3108" spans="15:16" x14ac:dyDescent="0.2">
      <c r="O3108" s="37" t="s">
        <v>2234</v>
      </c>
      <c r="P3108" s="46" t="s">
        <v>95</v>
      </c>
    </row>
    <row r="3109" spans="15:16" x14ac:dyDescent="0.2">
      <c r="O3109" s="38" t="s">
        <v>2235</v>
      </c>
      <c r="P3109" s="47" t="s">
        <v>95</v>
      </c>
    </row>
    <row r="3110" spans="15:16" x14ac:dyDescent="0.2">
      <c r="O3110" s="37" t="s">
        <v>709</v>
      </c>
      <c r="P3110" s="46" t="s">
        <v>95</v>
      </c>
    </row>
    <row r="3111" spans="15:16" x14ac:dyDescent="0.2">
      <c r="O3111" s="38" t="s">
        <v>2236</v>
      </c>
      <c r="P3111" s="47" t="s">
        <v>95</v>
      </c>
    </row>
    <row r="3112" spans="15:16" x14ac:dyDescent="0.2">
      <c r="O3112" s="37" t="s">
        <v>1421</v>
      </c>
      <c r="P3112" s="46" t="s">
        <v>95</v>
      </c>
    </row>
    <row r="3113" spans="15:16" x14ac:dyDescent="0.2">
      <c r="O3113" s="38" t="s">
        <v>2237</v>
      </c>
      <c r="P3113" s="47" t="s">
        <v>95</v>
      </c>
    </row>
    <row r="3114" spans="15:16" x14ac:dyDescent="0.2">
      <c r="O3114" s="37" t="s">
        <v>1868</v>
      </c>
      <c r="P3114" s="46" t="s">
        <v>95</v>
      </c>
    </row>
    <row r="3115" spans="15:16" x14ac:dyDescent="0.2">
      <c r="O3115" s="38" t="s">
        <v>2238</v>
      </c>
      <c r="P3115" s="47" t="s">
        <v>95</v>
      </c>
    </row>
    <row r="3116" spans="15:16" x14ac:dyDescent="0.2">
      <c r="O3116" s="37" t="s">
        <v>441</v>
      </c>
      <c r="P3116" s="46" t="s">
        <v>95</v>
      </c>
    </row>
    <row r="3117" spans="15:16" x14ac:dyDescent="0.2">
      <c r="O3117" s="38" t="s">
        <v>2239</v>
      </c>
      <c r="P3117" s="47" t="s">
        <v>95</v>
      </c>
    </row>
    <row r="3118" spans="15:16" x14ac:dyDescent="0.2">
      <c r="O3118" s="37" t="s">
        <v>2240</v>
      </c>
      <c r="P3118" s="46" t="s">
        <v>95</v>
      </c>
    </row>
    <row r="3119" spans="15:16" x14ac:dyDescent="0.2">
      <c r="O3119" s="38" t="s">
        <v>2241</v>
      </c>
      <c r="P3119" s="47" t="s">
        <v>95</v>
      </c>
    </row>
    <row r="3120" spans="15:16" x14ac:dyDescent="0.2">
      <c r="O3120" s="37" t="s">
        <v>911</v>
      </c>
      <c r="P3120" s="46" t="s">
        <v>95</v>
      </c>
    </row>
    <row r="3121" spans="15:16" x14ac:dyDescent="0.2">
      <c r="O3121" s="38" t="s">
        <v>1712</v>
      </c>
      <c r="P3121" s="47" t="s">
        <v>95</v>
      </c>
    </row>
    <row r="3122" spans="15:16" x14ac:dyDescent="0.2">
      <c r="O3122" s="37" t="s">
        <v>1553</v>
      </c>
      <c r="P3122" s="46" t="s">
        <v>94</v>
      </c>
    </row>
    <row r="3123" spans="15:16" x14ac:dyDescent="0.2">
      <c r="O3123" s="38" t="s">
        <v>1424</v>
      </c>
      <c r="P3123" s="47" t="s">
        <v>94</v>
      </c>
    </row>
    <row r="3124" spans="15:16" x14ac:dyDescent="0.2">
      <c r="O3124" s="37" t="s">
        <v>1078</v>
      </c>
      <c r="P3124" s="46" t="s">
        <v>94</v>
      </c>
    </row>
    <row r="3125" spans="15:16" x14ac:dyDescent="0.2">
      <c r="O3125" s="38" t="s">
        <v>1426</v>
      </c>
      <c r="P3125" s="47" t="s">
        <v>94</v>
      </c>
    </row>
    <row r="3126" spans="15:16" x14ac:dyDescent="0.2">
      <c r="O3126" s="37" t="s">
        <v>2242</v>
      </c>
      <c r="P3126" s="46" t="s">
        <v>94</v>
      </c>
    </row>
    <row r="3127" spans="15:16" x14ac:dyDescent="0.2">
      <c r="O3127" s="38" t="s">
        <v>1758</v>
      </c>
      <c r="P3127" s="47" t="s">
        <v>94</v>
      </c>
    </row>
    <row r="3128" spans="15:16" x14ac:dyDescent="0.2">
      <c r="O3128" s="37" t="s">
        <v>618</v>
      </c>
      <c r="P3128" s="46" t="s">
        <v>94</v>
      </c>
    </row>
    <row r="3129" spans="15:16" x14ac:dyDescent="0.2">
      <c r="O3129" s="38" t="s">
        <v>2243</v>
      </c>
      <c r="P3129" s="47" t="s">
        <v>94</v>
      </c>
    </row>
    <row r="3130" spans="15:16" x14ac:dyDescent="0.2">
      <c r="O3130" s="37" t="s">
        <v>2244</v>
      </c>
      <c r="P3130" s="46" t="s">
        <v>94</v>
      </c>
    </row>
    <row r="3131" spans="15:16" x14ac:dyDescent="0.2">
      <c r="O3131" s="38" t="s">
        <v>511</v>
      </c>
      <c r="P3131" s="47" t="s">
        <v>94</v>
      </c>
    </row>
    <row r="3132" spans="15:16" x14ac:dyDescent="0.2">
      <c r="O3132" s="37" t="s">
        <v>2245</v>
      </c>
      <c r="P3132" s="46" t="s">
        <v>94</v>
      </c>
    </row>
    <row r="3133" spans="15:16" x14ac:dyDescent="0.2">
      <c r="O3133" s="38" t="s">
        <v>513</v>
      </c>
      <c r="P3133" s="47" t="s">
        <v>94</v>
      </c>
    </row>
    <row r="3134" spans="15:16" x14ac:dyDescent="0.2">
      <c r="O3134" s="37" t="s">
        <v>2246</v>
      </c>
      <c r="P3134" s="46" t="s">
        <v>94</v>
      </c>
    </row>
    <row r="3135" spans="15:16" x14ac:dyDescent="0.2">
      <c r="O3135" s="38" t="s">
        <v>2247</v>
      </c>
      <c r="P3135" s="47" t="s">
        <v>94</v>
      </c>
    </row>
    <row r="3136" spans="15:16" x14ac:dyDescent="0.2">
      <c r="O3136" s="37" t="s">
        <v>637</v>
      </c>
      <c r="P3136" s="46" t="s">
        <v>94</v>
      </c>
    </row>
    <row r="3137" spans="15:16" x14ac:dyDescent="0.2">
      <c r="O3137" s="38" t="s">
        <v>1409</v>
      </c>
      <c r="P3137" s="47" t="s">
        <v>94</v>
      </c>
    </row>
    <row r="3138" spans="15:16" x14ac:dyDescent="0.2">
      <c r="O3138" s="37" t="s">
        <v>1052</v>
      </c>
      <c r="P3138" s="46" t="s">
        <v>94</v>
      </c>
    </row>
    <row r="3139" spans="15:16" x14ac:dyDescent="0.2">
      <c r="O3139" s="38" t="s">
        <v>2248</v>
      </c>
      <c r="P3139" s="47" t="s">
        <v>94</v>
      </c>
    </row>
    <row r="3140" spans="15:16" x14ac:dyDescent="0.2">
      <c r="O3140" s="37" t="s">
        <v>2249</v>
      </c>
      <c r="P3140" s="46" t="s">
        <v>94</v>
      </c>
    </row>
    <row r="3141" spans="15:16" x14ac:dyDescent="0.2">
      <c r="O3141" s="38" t="s">
        <v>856</v>
      </c>
      <c r="P3141" s="47" t="s">
        <v>94</v>
      </c>
    </row>
    <row r="3142" spans="15:16" x14ac:dyDescent="0.2">
      <c r="O3142" s="37" t="s">
        <v>2250</v>
      </c>
      <c r="P3142" s="46" t="s">
        <v>94</v>
      </c>
    </row>
    <row r="3143" spans="15:16" x14ac:dyDescent="0.2">
      <c r="O3143" s="38" t="s">
        <v>2251</v>
      </c>
      <c r="P3143" s="47" t="s">
        <v>94</v>
      </c>
    </row>
    <row r="3144" spans="15:16" x14ac:dyDescent="0.2">
      <c r="O3144" s="37" t="s">
        <v>2252</v>
      </c>
      <c r="P3144" s="46" t="s">
        <v>94</v>
      </c>
    </row>
    <row r="3145" spans="15:16" x14ac:dyDescent="0.2">
      <c r="O3145" s="38" t="s">
        <v>2253</v>
      </c>
      <c r="P3145" s="47" t="s">
        <v>106</v>
      </c>
    </row>
    <row r="3146" spans="15:16" x14ac:dyDescent="0.2">
      <c r="O3146" s="37" t="s">
        <v>2254</v>
      </c>
      <c r="P3146" s="46" t="s">
        <v>106</v>
      </c>
    </row>
    <row r="3147" spans="15:16" x14ac:dyDescent="0.2">
      <c r="O3147" s="38" t="s">
        <v>2255</v>
      </c>
      <c r="P3147" s="47" t="s">
        <v>106</v>
      </c>
    </row>
    <row r="3148" spans="15:16" x14ac:dyDescent="0.2">
      <c r="O3148" s="37" t="s">
        <v>2256</v>
      </c>
      <c r="P3148" s="46" t="s">
        <v>106</v>
      </c>
    </row>
    <row r="3149" spans="15:16" x14ac:dyDescent="0.2">
      <c r="O3149" s="38" t="s">
        <v>2257</v>
      </c>
      <c r="P3149" s="47" t="s">
        <v>106</v>
      </c>
    </row>
    <row r="3150" spans="15:16" x14ac:dyDescent="0.2">
      <c r="O3150" s="37" t="s">
        <v>2258</v>
      </c>
      <c r="P3150" s="46" t="s">
        <v>106</v>
      </c>
    </row>
    <row r="3151" spans="15:16" x14ac:dyDescent="0.2">
      <c r="O3151" s="38" t="s">
        <v>2259</v>
      </c>
      <c r="P3151" s="47" t="s">
        <v>106</v>
      </c>
    </row>
    <row r="3152" spans="15:16" x14ac:dyDescent="0.2">
      <c r="O3152" s="37" t="s">
        <v>2260</v>
      </c>
      <c r="P3152" s="46" t="s">
        <v>106</v>
      </c>
    </row>
    <row r="3153" spans="15:16" x14ac:dyDescent="0.2">
      <c r="O3153" s="38" t="s">
        <v>2261</v>
      </c>
      <c r="P3153" s="47" t="s">
        <v>106</v>
      </c>
    </row>
    <row r="3154" spans="15:16" x14ac:dyDescent="0.2">
      <c r="O3154" s="37" t="s">
        <v>2262</v>
      </c>
      <c r="P3154" s="46" t="s">
        <v>106</v>
      </c>
    </row>
    <row r="3155" spans="15:16" x14ac:dyDescent="0.2">
      <c r="O3155" s="38" t="s">
        <v>2263</v>
      </c>
      <c r="P3155" s="47" t="s">
        <v>106</v>
      </c>
    </row>
    <row r="3156" spans="15:16" x14ac:dyDescent="0.2">
      <c r="O3156" s="37" t="s">
        <v>2264</v>
      </c>
      <c r="P3156" s="46" t="s">
        <v>106</v>
      </c>
    </row>
    <row r="3157" spans="15:16" x14ac:dyDescent="0.2">
      <c r="O3157" s="38" t="s">
        <v>2265</v>
      </c>
      <c r="P3157" s="47" t="s">
        <v>106</v>
      </c>
    </row>
    <row r="3158" spans="15:16" x14ac:dyDescent="0.2">
      <c r="O3158" s="37" t="s">
        <v>2266</v>
      </c>
      <c r="P3158" s="46" t="s">
        <v>106</v>
      </c>
    </row>
    <row r="3159" spans="15:16" x14ac:dyDescent="0.2">
      <c r="O3159" s="38" t="s">
        <v>2267</v>
      </c>
      <c r="P3159" s="47" t="s">
        <v>106</v>
      </c>
    </row>
    <row r="3160" spans="15:16" x14ac:dyDescent="0.2">
      <c r="O3160" s="37" t="s">
        <v>2268</v>
      </c>
      <c r="P3160" s="46" t="s">
        <v>106</v>
      </c>
    </row>
    <row r="3161" spans="15:16" x14ac:dyDescent="0.2">
      <c r="O3161" s="38" t="s">
        <v>2269</v>
      </c>
      <c r="P3161" s="47" t="s">
        <v>106</v>
      </c>
    </row>
    <row r="3162" spans="15:16" x14ac:dyDescent="0.2">
      <c r="O3162" s="37" t="s">
        <v>2270</v>
      </c>
      <c r="P3162" s="46" t="s">
        <v>106</v>
      </c>
    </row>
    <row r="3163" spans="15:16" x14ac:dyDescent="0.2">
      <c r="O3163" s="38" t="s">
        <v>2271</v>
      </c>
      <c r="P3163" s="47" t="s">
        <v>106</v>
      </c>
    </row>
    <row r="3164" spans="15:16" x14ac:dyDescent="0.2">
      <c r="O3164" s="37" t="s">
        <v>2272</v>
      </c>
      <c r="P3164" s="46" t="s">
        <v>106</v>
      </c>
    </row>
    <row r="3165" spans="15:16" x14ac:dyDescent="0.2">
      <c r="O3165" s="38" t="s">
        <v>2273</v>
      </c>
      <c r="P3165" s="47" t="s">
        <v>106</v>
      </c>
    </row>
    <row r="3166" spans="15:16" x14ac:dyDescent="0.2">
      <c r="O3166" s="37" t="s">
        <v>2274</v>
      </c>
      <c r="P3166" s="46" t="s">
        <v>106</v>
      </c>
    </row>
    <row r="3167" spans="15:16" x14ac:dyDescent="0.2">
      <c r="O3167" s="38" t="s">
        <v>2275</v>
      </c>
      <c r="P3167" s="47" t="s">
        <v>106</v>
      </c>
    </row>
    <row r="3168" spans="15:16" x14ac:dyDescent="0.2">
      <c r="O3168" s="37" t="s">
        <v>2276</v>
      </c>
      <c r="P3168" s="46" t="s">
        <v>106</v>
      </c>
    </row>
    <row r="3169" spans="15:16" x14ac:dyDescent="0.2">
      <c r="O3169" s="38" t="s">
        <v>2277</v>
      </c>
      <c r="P3169" s="47" t="s">
        <v>106</v>
      </c>
    </row>
    <row r="3170" spans="15:16" x14ac:dyDescent="0.2">
      <c r="O3170" s="37" t="s">
        <v>2278</v>
      </c>
      <c r="P3170" s="46" t="s">
        <v>106</v>
      </c>
    </row>
    <row r="3171" spans="15:16" x14ac:dyDescent="0.2">
      <c r="O3171" s="38" t="s">
        <v>2279</v>
      </c>
      <c r="P3171" s="47" t="s">
        <v>106</v>
      </c>
    </row>
    <row r="3172" spans="15:16" x14ac:dyDescent="0.2">
      <c r="O3172" s="37" t="s">
        <v>2280</v>
      </c>
      <c r="P3172" s="46" t="s">
        <v>106</v>
      </c>
    </row>
    <row r="3173" spans="15:16" x14ac:dyDescent="0.2">
      <c r="O3173" s="38" t="s">
        <v>2281</v>
      </c>
      <c r="P3173" s="47" t="s">
        <v>106</v>
      </c>
    </row>
    <row r="3174" spans="15:16" x14ac:dyDescent="0.2">
      <c r="O3174" s="37" t="s">
        <v>2282</v>
      </c>
      <c r="P3174" s="46" t="s">
        <v>106</v>
      </c>
    </row>
    <row r="3175" spans="15:16" x14ac:dyDescent="0.2">
      <c r="O3175" s="38" t="s">
        <v>2283</v>
      </c>
      <c r="P3175" s="47" t="s">
        <v>106</v>
      </c>
    </row>
    <row r="3176" spans="15:16" x14ac:dyDescent="0.2">
      <c r="O3176" s="37" t="s">
        <v>2284</v>
      </c>
      <c r="P3176" s="46" t="s">
        <v>106</v>
      </c>
    </row>
    <row r="3177" spans="15:16" x14ac:dyDescent="0.2">
      <c r="O3177" s="38" t="s">
        <v>2285</v>
      </c>
      <c r="P3177" s="47" t="s">
        <v>106</v>
      </c>
    </row>
    <row r="3178" spans="15:16" x14ac:dyDescent="0.2">
      <c r="O3178" s="37" t="s">
        <v>2286</v>
      </c>
      <c r="P3178" s="46" t="s">
        <v>106</v>
      </c>
    </row>
    <row r="3179" spans="15:16" x14ac:dyDescent="0.2">
      <c r="O3179" s="38" t="s">
        <v>2287</v>
      </c>
      <c r="P3179" s="47" t="s">
        <v>106</v>
      </c>
    </row>
    <row r="3180" spans="15:16" x14ac:dyDescent="0.2">
      <c r="O3180" s="37" t="s">
        <v>2288</v>
      </c>
      <c r="P3180" s="46" t="s">
        <v>106</v>
      </c>
    </row>
    <row r="3181" spans="15:16" x14ac:dyDescent="0.2">
      <c r="O3181" s="38" t="s">
        <v>2289</v>
      </c>
      <c r="P3181" s="47" t="s">
        <v>106</v>
      </c>
    </row>
    <row r="3182" spans="15:16" x14ac:dyDescent="0.2">
      <c r="O3182" s="37" t="s">
        <v>2290</v>
      </c>
      <c r="P3182" s="46" t="s">
        <v>106</v>
      </c>
    </row>
    <row r="3183" spans="15:16" x14ac:dyDescent="0.2">
      <c r="O3183" s="38" t="s">
        <v>2291</v>
      </c>
      <c r="P3183" s="47" t="s">
        <v>106</v>
      </c>
    </row>
    <row r="3184" spans="15:16" x14ac:dyDescent="0.2">
      <c r="O3184" s="37" t="s">
        <v>2292</v>
      </c>
      <c r="P3184" s="46" t="s">
        <v>106</v>
      </c>
    </row>
    <row r="3185" spans="15:16" x14ac:dyDescent="0.2">
      <c r="O3185" s="38" t="s">
        <v>2293</v>
      </c>
      <c r="P3185" s="47" t="s">
        <v>106</v>
      </c>
    </row>
    <row r="3186" spans="15:16" x14ac:dyDescent="0.2">
      <c r="O3186" s="37" t="s">
        <v>2294</v>
      </c>
      <c r="P3186" s="46" t="s">
        <v>106</v>
      </c>
    </row>
    <row r="3187" spans="15:16" x14ac:dyDescent="0.2">
      <c r="O3187" s="38" t="s">
        <v>2295</v>
      </c>
      <c r="P3187" s="47" t="s">
        <v>106</v>
      </c>
    </row>
    <row r="3188" spans="15:16" x14ac:dyDescent="0.2">
      <c r="O3188" s="37" t="s">
        <v>2296</v>
      </c>
      <c r="P3188" s="46" t="s">
        <v>106</v>
      </c>
    </row>
    <row r="3189" spans="15:16" x14ac:dyDescent="0.2">
      <c r="O3189" s="38" t="s">
        <v>2297</v>
      </c>
      <c r="P3189" s="47" t="s">
        <v>106</v>
      </c>
    </row>
    <row r="3190" spans="15:16" x14ac:dyDescent="0.2">
      <c r="O3190" s="37" t="s">
        <v>2298</v>
      </c>
      <c r="P3190" s="46" t="s">
        <v>106</v>
      </c>
    </row>
    <row r="3191" spans="15:16" x14ac:dyDescent="0.2">
      <c r="O3191" s="38" t="s">
        <v>2299</v>
      </c>
      <c r="P3191" s="47" t="s">
        <v>106</v>
      </c>
    </row>
    <row r="3192" spans="15:16" x14ac:dyDescent="0.2">
      <c r="O3192" s="37" t="s">
        <v>2300</v>
      </c>
      <c r="P3192" s="46" t="s">
        <v>106</v>
      </c>
    </row>
    <row r="3193" spans="15:16" x14ac:dyDescent="0.2">
      <c r="O3193" s="38" t="s">
        <v>2301</v>
      </c>
      <c r="P3193" s="47" t="s">
        <v>106</v>
      </c>
    </row>
    <row r="3194" spans="15:16" x14ac:dyDescent="0.2">
      <c r="O3194" s="37" t="s">
        <v>2302</v>
      </c>
      <c r="P3194" s="46" t="s">
        <v>106</v>
      </c>
    </row>
    <row r="3195" spans="15:16" x14ac:dyDescent="0.2">
      <c r="O3195" s="38" t="s">
        <v>2303</v>
      </c>
      <c r="P3195" s="47" t="s">
        <v>106</v>
      </c>
    </row>
    <row r="3196" spans="15:16" x14ac:dyDescent="0.2">
      <c r="O3196" s="37" t="s">
        <v>2304</v>
      </c>
      <c r="P3196" s="46" t="s">
        <v>106</v>
      </c>
    </row>
    <row r="3197" spans="15:16" x14ac:dyDescent="0.2">
      <c r="O3197" s="38" t="s">
        <v>2305</v>
      </c>
      <c r="P3197" s="47" t="s">
        <v>106</v>
      </c>
    </row>
    <row r="3198" spans="15:16" x14ac:dyDescent="0.2">
      <c r="O3198" s="37" t="s">
        <v>2306</v>
      </c>
      <c r="P3198" s="46" t="s">
        <v>106</v>
      </c>
    </row>
    <row r="3199" spans="15:16" x14ac:dyDescent="0.2">
      <c r="O3199" s="38" t="s">
        <v>2307</v>
      </c>
      <c r="P3199" s="47" t="s">
        <v>106</v>
      </c>
    </row>
    <row r="3200" spans="15:16" x14ac:dyDescent="0.2">
      <c r="O3200" s="37" t="s">
        <v>2308</v>
      </c>
      <c r="P3200" s="46" t="s">
        <v>106</v>
      </c>
    </row>
    <row r="3201" spans="15:16" x14ac:dyDescent="0.2">
      <c r="O3201" s="38" t="s">
        <v>2309</v>
      </c>
      <c r="P3201" s="47" t="s">
        <v>106</v>
      </c>
    </row>
    <row r="3202" spans="15:16" x14ac:dyDescent="0.2">
      <c r="O3202" s="37" t="s">
        <v>2310</v>
      </c>
      <c r="P3202" s="46" t="s">
        <v>106</v>
      </c>
    </row>
    <row r="3203" spans="15:16" x14ac:dyDescent="0.2">
      <c r="O3203" s="38" t="s">
        <v>2311</v>
      </c>
      <c r="P3203" s="47" t="s">
        <v>106</v>
      </c>
    </row>
    <row r="3204" spans="15:16" x14ac:dyDescent="0.2">
      <c r="O3204" s="37" t="s">
        <v>2312</v>
      </c>
      <c r="P3204" s="46" t="s">
        <v>106</v>
      </c>
    </row>
    <row r="3205" spans="15:16" x14ac:dyDescent="0.2">
      <c r="O3205" s="38" t="s">
        <v>642</v>
      </c>
      <c r="P3205" s="47" t="s">
        <v>106</v>
      </c>
    </row>
    <row r="3206" spans="15:16" x14ac:dyDescent="0.2">
      <c r="O3206" s="37" t="s">
        <v>2313</v>
      </c>
      <c r="P3206" s="46" t="s">
        <v>106</v>
      </c>
    </row>
    <row r="3207" spans="15:16" x14ac:dyDescent="0.2">
      <c r="O3207" s="38" t="s">
        <v>2314</v>
      </c>
      <c r="P3207" s="47" t="s">
        <v>106</v>
      </c>
    </row>
    <row r="3208" spans="15:16" x14ac:dyDescent="0.2">
      <c r="O3208" s="37" t="s">
        <v>2315</v>
      </c>
      <c r="P3208" s="46" t="s">
        <v>106</v>
      </c>
    </row>
    <row r="3209" spans="15:16" x14ac:dyDescent="0.2">
      <c r="O3209" s="38" t="s">
        <v>645</v>
      </c>
      <c r="P3209" s="47" t="s">
        <v>106</v>
      </c>
    </row>
    <row r="3210" spans="15:16" x14ac:dyDescent="0.2">
      <c r="O3210" s="37" t="s">
        <v>2316</v>
      </c>
      <c r="P3210" s="46" t="s">
        <v>106</v>
      </c>
    </row>
    <row r="3211" spans="15:16" x14ac:dyDescent="0.2">
      <c r="O3211" s="38" t="s">
        <v>2317</v>
      </c>
      <c r="P3211" s="47" t="s">
        <v>106</v>
      </c>
    </row>
    <row r="3212" spans="15:16" x14ac:dyDescent="0.2">
      <c r="O3212" s="37" t="s">
        <v>2318</v>
      </c>
      <c r="P3212" s="46" t="s">
        <v>106</v>
      </c>
    </row>
    <row r="3213" spans="15:16" x14ac:dyDescent="0.2">
      <c r="O3213" s="38" t="s">
        <v>2319</v>
      </c>
      <c r="P3213" s="47" t="s">
        <v>106</v>
      </c>
    </row>
    <row r="3214" spans="15:16" x14ac:dyDescent="0.2">
      <c r="O3214" s="37" t="s">
        <v>2320</v>
      </c>
      <c r="P3214" s="46" t="s">
        <v>106</v>
      </c>
    </row>
    <row r="3215" spans="15:16" x14ac:dyDescent="0.2">
      <c r="O3215" s="38" t="s">
        <v>2321</v>
      </c>
      <c r="P3215" s="47" t="s">
        <v>106</v>
      </c>
    </row>
    <row r="3216" spans="15:16" x14ac:dyDescent="0.2">
      <c r="O3216" s="37" t="s">
        <v>2322</v>
      </c>
      <c r="P3216" s="46" t="s">
        <v>106</v>
      </c>
    </row>
    <row r="3217" spans="15:16" x14ac:dyDescent="0.2">
      <c r="O3217" s="38" t="s">
        <v>2323</v>
      </c>
      <c r="P3217" s="47" t="s">
        <v>106</v>
      </c>
    </row>
    <row r="3218" spans="15:16" x14ac:dyDescent="0.2">
      <c r="O3218" s="37" t="s">
        <v>2324</v>
      </c>
      <c r="P3218" s="46" t="s">
        <v>106</v>
      </c>
    </row>
    <row r="3219" spans="15:16" x14ac:dyDescent="0.2">
      <c r="O3219" s="38" t="s">
        <v>2325</v>
      </c>
      <c r="P3219" s="47" t="s">
        <v>106</v>
      </c>
    </row>
    <row r="3220" spans="15:16" x14ac:dyDescent="0.2">
      <c r="O3220" s="37" t="s">
        <v>2326</v>
      </c>
      <c r="P3220" s="46" t="s">
        <v>106</v>
      </c>
    </row>
    <row r="3221" spans="15:16" x14ac:dyDescent="0.2">
      <c r="O3221" s="38" t="s">
        <v>2327</v>
      </c>
      <c r="P3221" s="47" t="s">
        <v>106</v>
      </c>
    </row>
    <row r="3222" spans="15:16" x14ac:dyDescent="0.2">
      <c r="O3222" s="37" t="s">
        <v>2328</v>
      </c>
      <c r="P3222" s="46" t="s">
        <v>106</v>
      </c>
    </row>
    <row r="3223" spans="15:16" x14ac:dyDescent="0.2">
      <c r="O3223" s="38" t="s">
        <v>2329</v>
      </c>
      <c r="P3223" s="47" t="s">
        <v>218</v>
      </c>
    </row>
    <row r="3224" spans="15:16" x14ac:dyDescent="0.2">
      <c r="O3224" s="37" t="s">
        <v>2330</v>
      </c>
      <c r="P3224" s="46" t="s">
        <v>218</v>
      </c>
    </row>
    <row r="3225" spans="15:16" x14ac:dyDescent="0.2">
      <c r="O3225" s="48" t="s">
        <v>2331</v>
      </c>
      <c r="P3225" s="49" t="s">
        <v>218</v>
      </c>
    </row>
  </sheetData>
  <sheetProtection algorithmName="SHA-512" hashValue="lrT+P1y/tx7ArCZA8zubFmJ+OaLtWmtxkjloHoJ9FN8fjcf3B6D/W9jMK5lycrsGusn7PAHnHWNJWLJBtaAzFg==" saltValue="2oxZ7mhw9EPiMLVTAgkByw==" spinCount="100000" sheet="1" objects="1" scenarios="1"/>
  <sortState xmlns:xlrd2="http://schemas.microsoft.com/office/spreadsheetml/2017/richdata2" ref="T4:T12">
    <sortCondition ref="T4"/>
  </sortState>
  <pageMargins left="0.7" right="0.7" top="0.75" bottom="0.75" header="0.3" footer="0.3"/>
  <pageSetup orientation="portrait" r:id="rId1"/>
  <headerFooter>
    <oddFooter>&amp;L&amp;1#&amp;"Calibri"&amp;9&amp;K0000FFFHLBank San Francisco | Internal</oddFooter>
  </headerFooter>
  <legacy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6"/>
  <sheetViews>
    <sheetView workbookViewId="0">
      <selection activeCell="P7" sqref="P7:S7"/>
    </sheetView>
  </sheetViews>
  <sheetFormatPr defaultColWidth="9.140625" defaultRowHeight="12.75" x14ac:dyDescent="0.2"/>
  <cols>
    <col min="1" max="1" width="20.140625" style="1" customWidth="1"/>
    <col min="2" max="2" width="30.140625" style="1" bestFit="1" customWidth="1"/>
    <col min="3" max="3" width="15.140625" style="1" customWidth="1"/>
    <col min="4" max="4" width="30.42578125" style="2" bestFit="1" customWidth="1"/>
    <col min="5" max="5" width="3.42578125" style="1" customWidth="1"/>
    <col min="6" max="6" width="19.140625" style="2" customWidth="1"/>
    <col min="7" max="7" width="25.42578125" style="1" bestFit="1" customWidth="1"/>
    <col min="8" max="8" width="25.42578125" style="1" customWidth="1"/>
    <col min="9" max="9" width="18" style="1" customWidth="1"/>
    <col min="10" max="10" width="24.42578125" style="1" bestFit="1" customWidth="1"/>
    <col min="11" max="11" width="9.140625" style="1"/>
    <col min="12" max="12" width="17.140625" style="1" customWidth="1"/>
    <col min="13" max="13" width="59.28515625" style="1" bestFit="1" customWidth="1"/>
    <col min="14" max="16384" width="9.140625" style="1"/>
  </cols>
  <sheetData>
    <row r="1" spans="1:13" x14ac:dyDescent="0.2">
      <c r="A1" s="3" t="s">
        <v>175</v>
      </c>
      <c r="F1" s="9" t="s">
        <v>66</v>
      </c>
      <c r="L1" s="9" t="s">
        <v>2336</v>
      </c>
    </row>
    <row r="2" spans="1:13" x14ac:dyDescent="0.2">
      <c r="A2" s="1" t="s">
        <v>5</v>
      </c>
      <c r="B2" s="1" t="s">
        <v>6</v>
      </c>
      <c r="C2" s="1" t="s">
        <v>7</v>
      </c>
      <c r="D2" s="2" t="s">
        <v>8</v>
      </c>
      <c r="F2" s="9" t="s">
        <v>17</v>
      </c>
      <c r="G2" s="1" t="s">
        <v>24</v>
      </c>
      <c r="H2" s="1" t="s">
        <v>27</v>
      </c>
      <c r="I2" s="1" t="s">
        <v>19</v>
      </c>
      <c r="J2" s="1" t="s">
        <v>26</v>
      </c>
      <c r="L2" s="1" t="s">
        <v>2337</v>
      </c>
      <c r="M2" s="1" t="s">
        <v>2338</v>
      </c>
    </row>
    <row r="3" spans="1:13" x14ac:dyDescent="0.2">
      <c r="A3" s="1" t="s">
        <v>10</v>
      </c>
      <c r="B3" s="1" t="s">
        <v>13</v>
      </c>
      <c r="C3" s="1" t="s">
        <v>11</v>
      </c>
      <c r="D3" s="2" t="str">
        <f ca="1">VLOOKUP(DB_TBL_CONFIG_APP[[#This Row],[CONFIG_VAR]],DB_TBL_DATA_FIELDS[[#All],[FIELD_ID]:[FIELD_VALUE_CLEAN]],10,FALSE)</f>
        <v>R</v>
      </c>
      <c r="F3" s="2">
        <v>-1</v>
      </c>
      <c r="G3" s="1" t="s">
        <v>20</v>
      </c>
      <c r="H3" s="1" t="s">
        <v>31</v>
      </c>
      <c r="I3" s="1" t="s">
        <v>91</v>
      </c>
      <c r="J3" s="1" t="s">
        <v>16</v>
      </c>
      <c r="L3" s="1">
        <v>1</v>
      </c>
      <c r="M3" s="1" t="s">
        <v>2385</v>
      </c>
    </row>
    <row r="4" spans="1:13" x14ac:dyDescent="0.2">
      <c r="A4" s="4" t="s">
        <v>34</v>
      </c>
      <c r="B4" s="4" t="s">
        <v>35</v>
      </c>
      <c r="C4" s="4" t="s">
        <v>11</v>
      </c>
      <c r="D4" s="6">
        <f>Configuration!$P$7</f>
        <v>2021</v>
      </c>
      <c r="F4" s="6">
        <v>0</v>
      </c>
      <c r="G4" s="4" t="s">
        <v>21</v>
      </c>
      <c r="H4" s="4" t="s">
        <v>29</v>
      </c>
      <c r="I4" s="1" t="s">
        <v>15</v>
      </c>
      <c r="J4" s="1" t="s">
        <v>16</v>
      </c>
      <c r="L4" s="4">
        <v>2</v>
      </c>
      <c r="M4" s="4" t="s">
        <v>2339</v>
      </c>
    </row>
    <row r="5" spans="1:13" x14ac:dyDescent="0.2">
      <c r="A5" s="4" t="s">
        <v>36</v>
      </c>
      <c r="B5" s="4" t="s">
        <v>37</v>
      </c>
      <c r="C5" s="4" t="s">
        <v>11</v>
      </c>
      <c r="D5" s="6" t="str">
        <f ca="1">IF(D3="R","Rental Project","HomeOwner Project")</f>
        <v>Rental Project</v>
      </c>
      <c r="F5" s="2">
        <v>1</v>
      </c>
      <c r="G5" s="1" t="s">
        <v>22</v>
      </c>
      <c r="H5" s="1" t="s">
        <v>28</v>
      </c>
      <c r="I5" s="1" t="s">
        <v>25</v>
      </c>
      <c r="J5" s="1" t="s">
        <v>16</v>
      </c>
      <c r="L5" s="4">
        <v>3</v>
      </c>
      <c r="M5" s="4" t="s">
        <v>2376</v>
      </c>
    </row>
    <row r="6" spans="1:13" x14ac:dyDescent="0.2">
      <c r="A6" s="4" t="s">
        <v>204</v>
      </c>
      <c r="B6" s="4" t="s">
        <v>205</v>
      </c>
      <c r="C6" s="4" t="s">
        <v>38</v>
      </c>
      <c r="D6" s="381">
        <v>44217</v>
      </c>
      <c r="F6" s="6">
        <v>2</v>
      </c>
      <c r="G6" s="4" t="s">
        <v>23</v>
      </c>
      <c r="H6" s="4" t="s">
        <v>30</v>
      </c>
      <c r="I6" s="1" t="s">
        <v>14</v>
      </c>
      <c r="J6" s="1" t="s">
        <v>16</v>
      </c>
    </row>
    <row r="7" spans="1:13" x14ac:dyDescent="0.2">
      <c r="A7" s="4" t="s">
        <v>39</v>
      </c>
      <c r="B7" s="4" t="s">
        <v>40</v>
      </c>
      <c r="C7" s="4" t="s">
        <v>11</v>
      </c>
      <c r="D7" s="6" t="str">
        <f>Configuration!$P$8</f>
        <v>AHP General Fund 2021</v>
      </c>
    </row>
    <row r="8" spans="1:13" x14ac:dyDescent="0.2">
      <c r="A8" s="4" t="s">
        <v>55</v>
      </c>
      <c r="B8" s="4" t="s">
        <v>56</v>
      </c>
      <c r="C8" s="4" t="s">
        <v>11</v>
      </c>
      <c r="D8" s="6" t="s">
        <v>256</v>
      </c>
    </row>
    <row r="9" spans="1:13" x14ac:dyDescent="0.2">
      <c r="A9" s="4" t="s">
        <v>57</v>
      </c>
      <c r="B9" s="4" t="s">
        <v>58</v>
      </c>
      <c r="C9" s="4" t="s">
        <v>11</v>
      </c>
      <c r="D9" s="6" t="s">
        <v>257</v>
      </c>
    </row>
    <row r="10" spans="1:13" x14ac:dyDescent="0.2">
      <c r="A10" s="4" t="s">
        <v>76</v>
      </c>
      <c r="B10" s="4" t="s">
        <v>77</v>
      </c>
      <c r="C10" s="4" t="s">
        <v>11</v>
      </c>
      <c r="D10" s="6" t="s">
        <v>45</v>
      </c>
    </row>
    <row r="11" spans="1:13" x14ac:dyDescent="0.2">
      <c r="A11" s="4" t="s">
        <v>78</v>
      </c>
      <c r="B11" s="4" t="s">
        <v>79</v>
      </c>
      <c r="C11" s="4" t="s">
        <v>11</v>
      </c>
      <c r="D11" s="6" t="s">
        <v>47</v>
      </c>
    </row>
    <row r="12" spans="1:13" x14ac:dyDescent="0.2">
      <c r="A12" s="4" t="s">
        <v>80</v>
      </c>
      <c r="B12" s="4" t="s">
        <v>81</v>
      </c>
      <c r="C12" s="4" t="s">
        <v>11</v>
      </c>
      <c r="D12" s="6" t="s">
        <v>82</v>
      </c>
      <c r="M12" s="13"/>
    </row>
    <row r="13" spans="1:13" x14ac:dyDescent="0.2">
      <c r="A13" s="4" t="s">
        <v>210</v>
      </c>
      <c r="B13" s="4" t="s">
        <v>211</v>
      </c>
      <c r="C13" s="4" t="s">
        <v>62</v>
      </c>
      <c r="D13" s="27">
        <f>Configuration!$P$9</f>
        <v>1250000</v>
      </c>
    </row>
    <row r="14" spans="1:13" x14ac:dyDescent="0.2">
      <c r="A14" s="4" t="s">
        <v>369</v>
      </c>
      <c r="B14" s="4" t="s">
        <v>370</v>
      </c>
      <c r="C14" s="4" t="s">
        <v>11</v>
      </c>
      <c r="D14" s="382" t="s">
        <v>3931</v>
      </c>
    </row>
    <row r="15" spans="1:13" x14ac:dyDescent="0.2">
      <c r="A15" s="121" t="s">
        <v>3414</v>
      </c>
      <c r="B15" s="121" t="s">
        <v>3415</v>
      </c>
      <c r="C15" s="121" t="s">
        <v>11</v>
      </c>
      <c r="D15" s="122" t="str">
        <f>IF(Configuration!D15="","",Configuration!D15)</f>
        <v>The application, including all supporting documents, must be electronically submitted via the Federal Home Loan Bank of San Francisco’s secure portal, no later than 5:00 pm Pacific Time, Wednesday, March 10, 2021.
For detailed information on application eligibility requirements and scoring category criteria, refer to the current Implementation Plan available on fhlbsf.com.</v>
      </c>
    </row>
    <row r="16" spans="1:13" x14ac:dyDescent="0.2">
      <c r="A16" s="1" t="s">
        <v>3517</v>
      </c>
      <c r="B16" s="1" t="s">
        <v>3518</v>
      </c>
      <c r="C16" s="1" t="s">
        <v>62</v>
      </c>
      <c r="D16" s="2">
        <f>IF(Configuration!P21="",0,Configuration!P21)</f>
        <v>1000</v>
      </c>
    </row>
    <row r="17" spans="1:6" x14ac:dyDescent="0.2">
      <c r="A17" s="1" t="s">
        <v>3519</v>
      </c>
      <c r="B17" s="1" t="s">
        <v>3522</v>
      </c>
      <c r="C17" s="1" t="s">
        <v>62</v>
      </c>
      <c r="D17" s="2">
        <f>IF(Configuration!P22="",0,Configuration!P22)</f>
        <v>1500</v>
      </c>
    </row>
    <row r="18" spans="1:6" x14ac:dyDescent="0.2">
      <c r="A18" s="1" t="s">
        <v>3520</v>
      </c>
      <c r="B18" s="1" t="s">
        <v>3523</v>
      </c>
      <c r="C18" s="1" t="s">
        <v>62</v>
      </c>
      <c r="D18" s="2">
        <f>IF(Configuration!P23="",0,Configuration!P23)</f>
        <v>2000</v>
      </c>
    </row>
    <row r="19" spans="1:6" x14ac:dyDescent="0.2">
      <c r="A19" s="1" t="s">
        <v>3521</v>
      </c>
      <c r="B19" s="1" t="s">
        <v>3524</v>
      </c>
      <c r="C19" s="1" t="s">
        <v>62</v>
      </c>
      <c r="D19" s="2">
        <f>IF(Configuration!P24="",0,Configuration!P24)</f>
        <v>3000</v>
      </c>
    </row>
    <row r="20" spans="1:6" x14ac:dyDescent="0.2">
      <c r="A20" s="1" t="s">
        <v>3531</v>
      </c>
      <c r="B20" s="1" t="s">
        <v>3532</v>
      </c>
      <c r="C20" s="1" t="s">
        <v>11</v>
      </c>
      <c r="D20" s="2" t="s">
        <v>3534</v>
      </c>
      <c r="F20" s="341" t="s">
        <v>3535</v>
      </c>
    </row>
    <row r="21" spans="1:6" x14ac:dyDescent="0.2">
      <c r="A21" s="1" t="s">
        <v>3530</v>
      </c>
      <c r="B21" s="1" t="s">
        <v>3533</v>
      </c>
      <c r="C21" s="1" t="s">
        <v>11</v>
      </c>
      <c r="D21" s="2" t="s">
        <v>3536</v>
      </c>
      <c r="F21" s="341" t="s">
        <v>3535</v>
      </c>
    </row>
    <row r="22" spans="1:6" x14ac:dyDescent="0.2">
      <c r="A22" s="1" t="s">
        <v>3818</v>
      </c>
      <c r="B22" s="1" t="s">
        <v>3819</v>
      </c>
      <c r="C22" s="1" t="s">
        <v>11</v>
      </c>
      <c r="D22" s="2" t="s">
        <v>3860</v>
      </c>
    </row>
    <row r="23" spans="1:6" x14ac:dyDescent="0.2">
      <c r="A23" s="1" t="s">
        <v>3861</v>
      </c>
      <c r="B23" s="1" t="s">
        <v>3862</v>
      </c>
      <c r="C23" s="1" t="s">
        <v>11</v>
      </c>
      <c r="D23" s="2" t="s">
        <v>3863</v>
      </c>
    </row>
    <row r="25" spans="1:6" x14ac:dyDescent="0.2">
      <c r="D25" s="2" t="s">
        <v>3534</v>
      </c>
    </row>
    <row r="26" spans="1:6" x14ac:dyDescent="0.2">
      <c r="D26" s="2" t="s">
        <v>3537</v>
      </c>
    </row>
  </sheetData>
  <sheetProtection algorithmName="SHA-512" hashValue="1Wo0P9aCO/s5XRD5Cr5wYIdJzodBOdEyn+tsnubPF1VfWf05GDflOz1kGM75RSO5xECdYEFnv+I5NGU2kyemDA==" saltValue="O+CZ7Mdkykw6Vahe1zKb8g==" spinCount="100000" sheet="1" objects="1" scenarios="1"/>
  <pageMargins left="0.7" right="0.7" top="0.75" bottom="0.75" header="0.3" footer="0.3"/>
  <pageSetup orientation="portrait" r:id="rId1"/>
  <headerFooter>
    <oddFooter>&amp;L&amp;1#&amp;"Calibri"&amp;9&amp;K0000FFFHLBank San Francisco | Internal</oddFooter>
  </headerFooter>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W2"/>
  <sheetViews>
    <sheetView workbookViewId="0">
      <selection activeCell="P7" sqref="P7:S7"/>
    </sheetView>
  </sheetViews>
  <sheetFormatPr defaultRowHeight="15" x14ac:dyDescent="0.25"/>
  <cols>
    <col min="1" max="4" width="20.7109375" customWidth="1"/>
    <col min="5" max="5" width="25" customWidth="1"/>
    <col min="6" max="6" width="26.5703125" customWidth="1"/>
    <col min="7" max="7" width="26.85546875" customWidth="1"/>
    <col min="8" max="8" width="23.28515625" bestFit="1" customWidth="1"/>
    <col min="9" max="9" width="13.85546875" bestFit="1" customWidth="1"/>
    <col min="10" max="10" width="27.28515625" bestFit="1" customWidth="1"/>
    <col min="11" max="11" width="25.85546875" bestFit="1" customWidth="1"/>
    <col min="12" max="12" width="28.140625" bestFit="1" customWidth="1"/>
    <col min="13" max="13" width="33.28515625" bestFit="1" customWidth="1"/>
    <col min="14" max="14" width="25.140625" bestFit="1" customWidth="1"/>
    <col min="15" max="15" width="14.5703125" bestFit="1" customWidth="1"/>
    <col min="16" max="16" width="20" bestFit="1" customWidth="1"/>
    <col min="17" max="17" width="30.28515625" bestFit="1" customWidth="1"/>
    <col min="18" max="18" width="25.28515625" bestFit="1" customWidth="1"/>
    <col min="19" max="19" width="20.140625" bestFit="1" customWidth="1"/>
    <col min="20" max="20" width="17.42578125" bestFit="1" customWidth="1"/>
    <col min="21" max="21" width="15.7109375" bestFit="1" customWidth="1"/>
    <col min="22" max="22" width="20" bestFit="1" customWidth="1"/>
    <col min="23" max="23" width="28.28515625" bestFit="1" customWidth="1"/>
    <col min="24" max="24" width="29.140625" bestFit="1" customWidth="1"/>
    <col min="25" max="25" width="19.42578125" bestFit="1" customWidth="1"/>
    <col min="26" max="26" width="16.28515625" bestFit="1" customWidth="1"/>
    <col min="27" max="27" width="26.7109375" bestFit="1" customWidth="1"/>
    <col min="28" max="28" width="28" bestFit="1" customWidth="1"/>
    <col min="29" max="29" width="38.5703125" bestFit="1" customWidth="1"/>
    <col min="30" max="30" width="34" bestFit="1" customWidth="1"/>
    <col min="31" max="31" width="33.28515625" bestFit="1" customWidth="1"/>
    <col min="32" max="32" width="41.140625" bestFit="1" customWidth="1"/>
    <col min="33" max="33" width="38.28515625" bestFit="1" customWidth="1"/>
    <col min="34" max="34" width="37.5703125" bestFit="1" customWidth="1"/>
    <col min="35" max="35" width="28.5703125" bestFit="1" customWidth="1"/>
    <col min="36" max="36" width="38.85546875" bestFit="1" customWidth="1"/>
    <col min="37" max="37" width="26.5703125" bestFit="1" customWidth="1"/>
    <col min="38" max="38" width="25" bestFit="1" customWidth="1"/>
    <col min="39" max="39" width="27.42578125" bestFit="1" customWidth="1"/>
    <col min="40" max="40" width="35.28515625" bestFit="1" customWidth="1"/>
    <col min="41" max="41" width="31.42578125" bestFit="1" customWidth="1"/>
    <col min="42" max="42" width="33.28515625" bestFit="1" customWidth="1"/>
    <col min="43" max="43" width="38" bestFit="1" customWidth="1"/>
    <col min="44" max="44" width="30.28515625" bestFit="1" customWidth="1"/>
    <col min="45" max="45" width="34.5703125" bestFit="1" customWidth="1"/>
    <col min="46" max="46" width="24" bestFit="1" customWidth="1"/>
    <col min="47" max="47" width="18.42578125" bestFit="1" customWidth="1"/>
    <col min="48" max="48" width="25.85546875" bestFit="1" customWidth="1"/>
    <col min="49" max="49" width="27.5703125" bestFit="1" customWidth="1"/>
    <col min="50" max="50" width="27.85546875" bestFit="1" customWidth="1"/>
    <col min="51" max="51" width="33.140625" bestFit="1" customWidth="1"/>
    <col min="52" max="52" width="29.140625" bestFit="1" customWidth="1"/>
    <col min="53" max="53" width="33" bestFit="1" customWidth="1"/>
    <col min="54" max="54" width="41.140625" bestFit="1" customWidth="1"/>
    <col min="55" max="55" width="40.85546875" bestFit="1" customWidth="1"/>
    <col min="56" max="56" width="13.140625" bestFit="1" customWidth="1"/>
    <col min="57" max="65" width="37.5703125" bestFit="1" customWidth="1"/>
    <col min="66" max="66" width="38.7109375" bestFit="1" customWidth="1"/>
    <col min="67" max="67" width="35.85546875" bestFit="1" customWidth="1"/>
    <col min="68" max="69" width="35.85546875" customWidth="1"/>
    <col min="70" max="77" width="35.85546875" bestFit="1" customWidth="1"/>
    <col min="78" max="78" width="36.85546875" bestFit="1" customWidth="1"/>
    <col min="79" max="79" width="26.7109375" bestFit="1" customWidth="1"/>
    <col min="80" max="81" width="26.7109375" customWidth="1"/>
    <col min="82" max="82" width="17" bestFit="1" customWidth="1"/>
    <col min="83" max="83" width="31.140625" bestFit="1" customWidth="1"/>
    <col min="84" max="84" width="32.28515625" bestFit="1" customWidth="1"/>
    <col min="85" max="85" width="40.5703125" bestFit="1" customWidth="1"/>
    <col min="86" max="86" width="33.85546875" bestFit="1" customWidth="1"/>
    <col min="87" max="87" width="27.5703125" bestFit="1" customWidth="1"/>
    <col min="88" max="88" width="29.7109375" bestFit="1" customWidth="1"/>
    <col min="89" max="89" width="35.28515625" bestFit="1" customWidth="1"/>
    <col min="90" max="90" width="42.5703125" bestFit="1" customWidth="1"/>
    <col min="91" max="91" width="42.85546875" bestFit="1" customWidth="1"/>
    <col min="92" max="92" width="40.28515625" bestFit="1" customWidth="1"/>
    <col min="93" max="93" width="34" bestFit="1" customWidth="1"/>
    <col min="94" max="94" width="35.28515625" bestFit="1" customWidth="1"/>
    <col min="95" max="95" width="30.140625" bestFit="1" customWidth="1"/>
    <col min="96" max="96" width="28.28515625" customWidth="1"/>
    <col min="97" max="97" width="17" bestFit="1" customWidth="1"/>
    <col min="98" max="98" width="30.28515625" bestFit="1" customWidth="1"/>
    <col min="99" max="99" width="26.28515625" bestFit="1" customWidth="1"/>
    <col min="100" max="100" width="34.140625" bestFit="1" customWidth="1"/>
    <col min="101" max="101" width="28" bestFit="1" customWidth="1"/>
    <col min="102" max="102" width="28.28515625" bestFit="1" customWidth="1"/>
    <col min="103" max="103" width="30" bestFit="1" customWidth="1"/>
    <col min="104" max="104" width="27.7109375" bestFit="1" customWidth="1"/>
    <col min="105" max="106" width="29.28515625" bestFit="1" customWidth="1"/>
    <col min="107" max="107" width="31.28515625" bestFit="1" customWidth="1"/>
    <col min="108" max="108" width="25.85546875" bestFit="1" customWidth="1"/>
    <col min="109" max="109" width="36.28515625" bestFit="1" customWidth="1"/>
    <col min="110" max="110" width="38.42578125" bestFit="1" customWidth="1"/>
    <col min="111" max="111" width="13.42578125" bestFit="1" customWidth="1"/>
    <col min="112" max="112" width="34" bestFit="1" customWidth="1"/>
    <col min="113" max="113" width="29.7109375" bestFit="1" customWidth="1"/>
    <col min="114" max="114" width="36.5703125" bestFit="1" customWidth="1"/>
    <col min="115" max="115" width="20.28515625" bestFit="1" customWidth="1"/>
    <col min="116" max="116" width="31.85546875" bestFit="1" customWidth="1"/>
    <col min="117" max="117" width="20.7109375" bestFit="1" customWidth="1"/>
    <col min="118" max="118" width="32.28515625" bestFit="1" customWidth="1"/>
    <col min="119" max="119" width="29.140625" bestFit="1" customWidth="1"/>
    <col min="120" max="120" width="33.5703125" bestFit="1" customWidth="1"/>
    <col min="121" max="121" width="20.140625" bestFit="1" customWidth="1"/>
    <col min="122" max="122" width="19.28515625" bestFit="1" customWidth="1"/>
    <col min="123" max="123" width="33.42578125" bestFit="1" customWidth="1"/>
    <col min="124" max="124" width="32.5703125" bestFit="1" customWidth="1"/>
    <col min="125" max="125" width="31.28515625" bestFit="1" customWidth="1"/>
    <col min="126" max="126" width="36.85546875" bestFit="1" customWidth="1"/>
    <col min="127" max="127" width="26.42578125" bestFit="1" customWidth="1"/>
    <col min="128" max="128" width="23.85546875" bestFit="1" customWidth="1"/>
    <col min="129" max="129" width="28" bestFit="1" customWidth="1"/>
    <col min="130" max="130" width="25.28515625" bestFit="1" customWidth="1"/>
    <col min="131" max="131" width="26.42578125" bestFit="1" customWidth="1"/>
    <col min="132" max="132" width="37.7109375" bestFit="1" customWidth="1"/>
    <col min="133" max="133" width="36.140625" bestFit="1" customWidth="1"/>
    <col min="134" max="134" width="28" bestFit="1" customWidth="1"/>
    <col min="135" max="135" width="28.42578125" bestFit="1" customWidth="1"/>
    <col min="136" max="136" width="11.7109375" bestFit="1" customWidth="1"/>
    <col min="137" max="137" width="34.5703125" bestFit="1" customWidth="1"/>
    <col min="138" max="138" width="27.5703125" bestFit="1" customWidth="1"/>
    <col min="139" max="139" width="31.7109375" bestFit="1" customWidth="1"/>
    <col min="140" max="140" width="40.28515625" customWidth="1"/>
    <col min="141" max="141" width="35.7109375" customWidth="1"/>
    <col min="142" max="142" width="30.85546875" customWidth="1"/>
    <col min="143" max="143" width="30.7109375" bestFit="1" customWidth="1"/>
    <col min="144" max="144" width="27.85546875" bestFit="1" customWidth="1"/>
    <col min="145" max="145" width="27.28515625" bestFit="1" customWidth="1"/>
    <col min="146" max="146" width="27.5703125" bestFit="1" customWidth="1"/>
    <col min="147" max="147" width="30.42578125" bestFit="1" customWidth="1"/>
    <col min="148" max="148" width="22.5703125" bestFit="1" customWidth="1"/>
    <col min="149" max="150" width="18.7109375" bestFit="1" customWidth="1"/>
    <col min="151" max="151" width="41.7109375" bestFit="1" customWidth="1"/>
    <col min="152" max="152" width="36.42578125" bestFit="1" customWidth="1"/>
    <col min="153" max="153" width="20" customWidth="1"/>
  </cols>
  <sheetData>
    <row r="1" spans="1:153" x14ac:dyDescent="0.25">
      <c r="A1" s="30" t="s">
        <v>34</v>
      </c>
      <c r="B1" s="30" t="s">
        <v>183</v>
      </c>
      <c r="C1" s="30" t="s">
        <v>10</v>
      </c>
      <c r="D1" s="30" t="s">
        <v>177</v>
      </c>
      <c r="E1" s="30" t="s">
        <v>178</v>
      </c>
      <c r="F1" s="30" t="s">
        <v>179</v>
      </c>
      <c r="G1" s="30" t="s">
        <v>180</v>
      </c>
      <c r="H1" s="30" t="s">
        <v>181</v>
      </c>
      <c r="I1" s="30" t="s">
        <v>182</v>
      </c>
      <c r="J1" s="30" t="s">
        <v>212</v>
      </c>
      <c r="K1" s="30" t="s">
        <v>2485</v>
      </c>
      <c r="L1" s="30" t="s">
        <v>2454</v>
      </c>
      <c r="M1" s="30" t="s">
        <v>2455</v>
      </c>
      <c r="N1" s="30" t="s">
        <v>2524</v>
      </c>
      <c r="O1" s="30" t="s">
        <v>2516</v>
      </c>
      <c r="P1" s="30" t="s">
        <v>2517</v>
      </c>
      <c r="Q1" s="30" t="s">
        <v>2518</v>
      </c>
      <c r="R1" s="30" t="s">
        <v>2520</v>
      </c>
      <c r="S1" s="30" t="s">
        <v>2525</v>
      </c>
      <c r="T1" s="30" t="s">
        <v>2526</v>
      </c>
      <c r="U1" s="30" t="s">
        <v>2527</v>
      </c>
      <c r="V1" s="30" t="s">
        <v>2528</v>
      </c>
      <c r="W1" s="30" t="s">
        <v>2529</v>
      </c>
      <c r="X1" s="30" t="s">
        <v>2530</v>
      </c>
      <c r="Y1" s="30" t="s">
        <v>2531</v>
      </c>
      <c r="Z1" s="30" t="s">
        <v>2535</v>
      </c>
      <c r="AA1" s="30" t="s">
        <v>2536</v>
      </c>
      <c r="AB1" s="30" t="s">
        <v>2537</v>
      </c>
      <c r="AC1" s="30" t="s">
        <v>2610</v>
      </c>
      <c r="AD1" s="30" t="s">
        <v>2633</v>
      </c>
      <c r="AE1" s="30" t="s">
        <v>2612</v>
      </c>
      <c r="AF1" s="30" t="s">
        <v>2634</v>
      </c>
      <c r="AG1" s="30" t="s">
        <v>2613</v>
      </c>
      <c r="AH1" s="30" t="s">
        <v>2614</v>
      </c>
      <c r="AI1" s="30" t="s">
        <v>2615</v>
      </c>
      <c r="AJ1" s="30" t="s">
        <v>2616</v>
      </c>
      <c r="AK1" s="30" t="s">
        <v>2617</v>
      </c>
      <c r="AL1" s="30" t="s">
        <v>2688</v>
      </c>
      <c r="AM1" s="30" t="s">
        <v>2692</v>
      </c>
      <c r="AN1" s="30" t="s">
        <v>2693</v>
      </c>
      <c r="AO1" s="30" t="s">
        <v>2694</v>
      </c>
      <c r="AP1" s="30" t="s">
        <v>2695</v>
      </c>
      <c r="AQ1" s="30" t="s">
        <v>2696</v>
      </c>
      <c r="AR1" s="30" t="s">
        <v>2697</v>
      </c>
      <c r="AS1" s="30" t="s">
        <v>2699</v>
      </c>
      <c r="AT1" s="30" t="s">
        <v>2698</v>
      </c>
      <c r="AU1" s="30" t="s">
        <v>2772</v>
      </c>
      <c r="AV1" s="30" t="s">
        <v>2777</v>
      </c>
      <c r="AW1" s="30" t="s">
        <v>2782</v>
      </c>
      <c r="AX1" s="30" t="s">
        <v>2784</v>
      </c>
      <c r="AY1" s="30" t="s">
        <v>2789</v>
      </c>
      <c r="AZ1" s="30" t="s">
        <v>2812</v>
      </c>
      <c r="BA1" s="30" t="s">
        <v>2790</v>
      </c>
      <c r="BB1" s="30" t="s">
        <v>2791</v>
      </c>
      <c r="BC1" s="30" t="s">
        <v>2792</v>
      </c>
      <c r="BD1" s="30" t="s">
        <v>2793</v>
      </c>
      <c r="BE1" s="30" t="s">
        <v>2874</v>
      </c>
      <c r="BF1" s="30" t="s">
        <v>2878</v>
      </c>
      <c r="BG1" s="30" t="s">
        <v>2897</v>
      </c>
      <c r="BH1" s="30" t="s">
        <v>2895</v>
      </c>
      <c r="BI1" s="30" t="s">
        <v>2893</v>
      </c>
      <c r="BJ1" s="30" t="s">
        <v>2891</v>
      </c>
      <c r="BK1" s="30" t="s">
        <v>2889</v>
      </c>
      <c r="BL1" s="30" t="s">
        <v>2887</v>
      </c>
      <c r="BM1" s="30" t="s">
        <v>2885</v>
      </c>
      <c r="BN1" s="30" t="s">
        <v>2883</v>
      </c>
      <c r="BO1" s="30" t="s">
        <v>2880</v>
      </c>
      <c r="BP1" s="30" t="s">
        <v>3400</v>
      </c>
      <c r="BQ1" s="30" t="s">
        <v>3401</v>
      </c>
      <c r="BR1" s="30" t="s">
        <v>2879</v>
      </c>
      <c r="BS1" s="30" t="s">
        <v>2896</v>
      </c>
      <c r="BT1" s="30" t="s">
        <v>2894</v>
      </c>
      <c r="BU1" s="30" t="s">
        <v>2892</v>
      </c>
      <c r="BV1" s="30" t="s">
        <v>2890</v>
      </c>
      <c r="BW1" s="30" t="s">
        <v>2888</v>
      </c>
      <c r="BX1" s="30" t="s">
        <v>2886</v>
      </c>
      <c r="BY1" s="30" t="s">
        <v>2884</v>
      </c>
      <c r="BZ1" s="30" t="s">
        <v>2882</v>
      </c>
      <c r="CA1" s="30" t="s">
        <v>2881</v>
      </c>
      <c r="CB1" s="30" t="s">
        <v>3404</v>
      </c>
      <c r="CC1" s="30" t="s">
        <v>3405</v>
      </c>
      <c r="CD1" s="30" t="s">
        <v>2875</v>
      </c>
      <c r="CE1" s="30" t="s">
        <v>2877</v>
      </c>
      <c r="CF1" s="30" t="s">
        <v>2962</v>
      </c>
      <c r="CG1" s="30" t="s">
        <v>2963</v>
      </c>
      <c r="CH1" s="30" t="s">
        <v>2965</v>
      </c>
      <c r="CI1" s="30" t="s">
        <v>2978</v>
      </c>
      <c r="CJ1" s="30" t="s">
        <v>2979</v>
      </c>
      <c r="CK1" s="30" t="s">
        <v>2980</v>
      </c>
      <c r="CL1" s="30" t="s">
        <v>2981</v>
      </c>
      <c r="CM1" s="30" t="s">
        <v>2982</v>
      </c>
      <c r="CN1" s="30" t="s">
        <v>2983</v>
      </c>
      <c r="CO1" s="30" t="s">
        <v>2984</v>
      </c>
      <c r="CP1" s="30" t="s">
        <v>2985</v>
      </c>
      <c r="CQ1" s="30" t="s">
        <v>2986</v>
      </c>
      <c r="CR1" s="30" t="s">
        <v>2987</v>
      </c>
      <c r="CS1" s="30" t="s">
        <v>2988</v>
      </c>
      <c r="CT1" s="30" t="s">
        <v>3027</v>
      </c>
      <c r="CU1" s="30" t="s">
        <v>3041</v>
      </c>
      <c r="CV1" s="30" t="s">
        <v>3043</v>
      </c>
      <c r="CW1" s="30" t="s">
        <v>3042</v>
      </c>
      <c r="CX1" s="30" t="s">
        <v>3047</v>
      </c>
      <c r="CY1" s="30" t="s">
        <v>3044</v>
      </c>
      <c r="CZ1" s="30" t="s">
        <v>3045</v>
      </c>
      <c r="DA1" s="30" t="s">
        <v>3046</v>
      </c>
      <c r="DB1" s="30" t="s">
        <v>3048</v>
      </c>
      <c r="DC1" s="30" t="s">
        <v>3073</v>
      </c>
      <c r="DD1" s="30" t="s">
        <v>3074</v>
      </c>
      <c r="DE1" s="30" t="s">
        <v>3075</v>
      </c>
      <c r="DF1" s="30" t="s">
        <v>3076</v>
      </c>
      <c r="DG1" s="30" t="s">
        <v>3077</v>
      </c>
      <c r="DH1" s="30" t="s">
        <v>3097</v>
      </c>
      <c r="DI1" s="30" t="s">
        <v>3098</v>
      </c>
      <c r="DJ1" s="30" t="s">
        <v>3117</v>
      </c>
      <c r="DK1" s="30" t="s">
        <v>3123</v>
      </c>
      <c r="DL1" s="30" t="s">
        <v>3125</v>
      </c>
      <c r="DM1" s="30" t="s">
        <v>3128</v>
      </c>
      <c r="DN1" s="30" t="s">
        <v>3145</v>
      </c>
      <c r="DO1" s="30" t="s">
        <v>3146</v>
      </c>
      <c r="DP1" s="30" t="s">
        <v>3165</v>
      </c>
      <c r="DQ1" s="30" t="s">
        <v>3168</v>
      </c>
      <c r="DR1" s="30" t="s">
        <v>3169</v>
      </c>
      <c r="DS1" s="30" t="s">
        <v>3172</v>
      </c>
      <c r="DT1" s="30" t="s">
        <v>3170</v>
      </c>
      <c r="DU1" s="30" t="s">
        <v>3171</v>
      </c>
      <c r="DV1" s="30" t="s">
        <v>3122</v>
      </c>
      <c r="DW1" s="30" t="s">
        <v>3268</v>
      </c>
      <c r="DX1" s="30" t="s">
        <v>3273</v>
      </c>
      <c r="DY1" s="30" t="s">
        <v>3281</v>
      </c>
      <c r="DZ1" s="30" t="s">
        <v>3302</v>
      </c>
      <c r="EA1" s="30" t="s">
        <v>3305</v>
      </c>
      <c r="EB1" s="30" t="s">
        <v>3285</v>
      </c>
      <c r="EC1" s="30" t="s">
        <v>3308</v>
      </c>
      <c r="ED1" s="30" t="s">
        <v>3309</v>
      </c>
      <c r="EE1" s="30" t="s">
        <v>3295</v>
      </c>
      <c r="EF1" s="30" t="s">
        <v>3570</v>
      </c>
      <c r="EG1" s="30" t="s">
        <v>3620</v>
      </c>
      <c r="EH1" s="30" t="s">
        <v>3616</v>
      </c>
      <c r="EI1" s="30" t="s">
        <v>3617</v>
      </c>
      <c r="EJ1" s="30" t="s">
        <v>3386</v>
      </c>
      <c r="EK1" s="30" t="s">
        <v>3387</v>
      </c>
      <c r="EL1" s="30" t="s">
        <v>2602</v>
      </c>
      <c r="EM1" s="30" t="s">
        <v>3654</v>
      </c>
      <c r="EN1" s="30" t="s">
        <v>3655</v>
      </c>
      <c r="EO1" s="30" t="s">
        <v>3656</v>
      </c>
      <c r="EP1" s="30" t="s">
        <v>3657</v>
      </c>
      <c r="EQ1" s="30" t="s">
        <v>3621</v>
      </c>
      <c r="ER1" s="30" t="s">
        <v>3721</v>
      </c>
      <c r="ES1" s="399" t="s">
        <v>3727</v>
      </c>
      <c r="ET1" s="399" t="s">
        <v>3728</v>
      </c>
      <c r="EU1" s="30" t="s">
        <v>3735</v>
      </c>
      <c r="EV1" s="30" t="s">
        <v>3736</v>
      </c>
      <c r="EW1" s="30" t="s">
        <v>3745</v>
      </c>
    </row>
    <row r="2" spans="1:153" x14ac:dyDescent="0.25">
      <c r="A2" s="31" t="str">
        <f>VLOOKUP(A1,DB_TBL_DATA_FIELDS[[FIELD_ID]:[FIELD_VALUE_CLEAN]],10,FALSE)</f>
        <v>2021</v>
      </c>
      <c r="B2" s="31" t="str">
        <f ca="1">VLOOKUP(B1,DB_TBL_DATA_FIELDS[[FIELD_ID]:[FIELD_VALUE_CLEAN]],10,FALSE)</f>
        <v>N</v>
      </c>
      <c r="C2" s="31" t="str">
        <f ca="1">VLOOKUP(C1,DB_TBL_DATA_FIELDS[[FIELD_ID]:[FIELD_VALUE_CLEAN]],10,FALSE)</f>
        <v>R</v>
      </c>
      <c r="D2" s="31" t="str">
        <f ca="1">VLOOKUP(D1,DB_TBL_DATA_FIELDS[[FIELD_ID]:[FIELD_VALUE_CLEAN]],10,FALSE)</f>
        <v/>
      </c>
      <c r="E2" s="31" t="str">
        <f ca="1">VLOOKUP(E1,DB_TBL_DATA_FIELDS[[FIELD_ID]:[FIELD_VALUE_CLEAN]],10,FALSE)</f>
        <v/>
      </c>
      <c r="F2" s="31" t="str">
        <f ca="1">VLOOKUP(F1,DB_TBL_DATA_FIELDS[[FIELD_ID]:[FIELD_VALUE_CLEAN]],10,FALSE)</f>
        <v/>
      </c>
      <c r="G2" s="31" t="str">
        <f ca="1">VLOOKUP(G1,DB_TBL_DATA_FIELDS[[FIELD_ID]:[FIELD_VALUE_CLEAN]],10,FALSE)</f>
        <v/>
      </c>
      <c r="H2" s="31" t="str">
        <f ca="1">VLOOKUP(H1,DB_TBL_DATA_FIELDS[[FIELD_ID]:[FIELD_VALUE_CLEAN]],10,FALSE)</f>
        <v/>
      </c>
      <c r="I2" s="31" t="str">
        <f ca="1">VLOOKUP(I1,DB_TBL_DATA_FIELDS[[FIELD_ID]:[FIELD_VALUE_CLEAN]],10,FALSE)</f>
        <v/>
      </c>
      <c r="J2" s="31" t="str">
        <f ca="1">VLOOKUP(J1,DB_TBL_DATA_FIELDS[[FIELD_ID]:[FIELD_VALUE_CLEAN]],10,FALSE)</f>
        <v/>
      </c>
      <c r="K2" s="31" t="str">
        <f ca="1">VLOOKUP(K1,DB_TBL_DATA_FIELDS[[FIELD_ID]:[FIELD_VALUE_CLEAN]],10,FALSE)</f>
        <v/>
      </c>
      <c r="L2" s="31" t="str">
        <f ca="1">VLOOKUP(L1,DB_TBL_DATA_FIELDS[[FIELD_ID]:[FIELD_VALUE_CLEAN]],10,FALSE)</f>
        <v/>
      </c>
      <c r="M2" s="31" t="str">
        <f ca="1">VLOOKUP(M1,DB_TBL_DATA_FIELDS[[FIELD_ID]:[FIELD_VALUE_CLEAN]],10,FALSE)</f>
        <v/>
      </c>
      <c r="N2" s="82" t="str">
        <f ca="1">VLOOKUP(N1,DB_TBL_DATA_FIELDS[[FIELD_ID]:[FIELD_VALUE_CLEAN]],10,FALSE)</f>
        <v/>
      </c>
      <c r="O2" s="82" t="str">
        <f ca="1">VLOOKUP(O1,DB_TBL_DATA_FIELDS[[FIELD_ID]:[FIELD_VALUE_CLEAN]],10,FALSE)</f>
        <v/>
      </c>
      <c r="P2" s="82" t="str">
        <f ca="1">VLOOKUP(P1,DB_TBL_DATA_FIELDS[[FIELD_ID]:[FIELD_VALUE_CLEAN]],10,FALSE)</f>
        <v/>
      </c>
      <c r="Q2" s="82" t="str">
        <f ca="1">VLOOKUP(Q1,DB_TBL_DATA_FIELDS[[FIELD_ID]:[FIELD_VALUE_CLEAN]],10,FALSE)</f>
        <v/>
      </c>
      <c r="R2" s="82" t="str">
        <f ca="1">VLOOKUP(R1,DB_TBL_DATA_FIELDS[[FIELD_ID]:[FIELD_VALUE_CLEAN]],10,FALSE)</f>
        <v/>
      </c>
      <c r="S2" s="82" t="str">
        <f ca="1">VLOOKUP(S1,DB_TBL_DATA_FIELDS[[FIELD_ID]:[FIELD_VALUE_CLEAN]],10,FALSE)</f>
        <v/>
      </c>
      <c r="T2" s="82" t="str">
        <f ca="1">VLOOKUP(T1,DB_TBL_DATA_FIELDS[[FIELD_ID]:[FIELD_VALUE_CLEAN]],10,FALSE)</f>
        <v/>
      </c>
      <c r="U2" s="82" t="str">
        <f ca="1">VLOOKUP(U1,DB_TBL_DATA_FIELDS[[FIELD_ID]:[FIELD_VALUE_CLEAN]],10,FALSE)</f>
        <v/>
      </c>
      <c r="V2" s="82" t="str">
        <f ca="1">VLOOKUP(V1,DB_TBL_DATA_FIELDS[[FIELD_ID]:[FIELD_VALUE_CLEAN]],10,FALSE)</f>
        <v/>
      </c>
      <c r="W2" s="82" t="str">
        <f ca="1">VLOOKUP(W1,DB_TBL_DATA_FIELDS[[FIELD_ID]:[FIELD_VALUE_CLEAN]],10,FALSE)</f>
        <v/>
      </c>
      <c r="X2" s="82" t="str">
        <f ca="1">VLOOKUP(X1,DB_TBL_DATA_FIELDS[[FIELD_ID]:[FIELD_VALUE_CLEAN]],10,FALSE)</f>
        <v/>
      </c>
      <c r="Y2" s="82" t="str">
        <f ca="1">VLOOKUP(Y1,DB_TBL_DATA_FIELDS[[FIELD_ID]:[FIELD_VALUE_CLEAN]],10,FALSE)</f>
        <v/>
      </c>
      <c r="Z2" s="82" t="str">
        <f ca="1">VLOOKUP(Z1,DB_TBL_DATA_FIELDS[[FIELD_ID]:[FIELD_VALUE_CLEAN]],10,FALSE)</f>
        <v/>
      </c>
      <c r="AA2" s="82" t="str">
        <f ca="1">VLOOKUP(AA1,DB_TBL_DATA_FIELDS[[FIELD_ID]:[FIELD_VALUE_CLEAN]],10,FALSE)</f>
        <v/>
      </c>
      <c r="AB2" s="82" t="str">
        <f ca="1">VLOOKUP(AB1,DB_TBL_DATA_FIELDS[[FIELD_ID]:[FIELD_VALUE_CLEAN]],10,FALSE)</f>
        <v/>
      </c>
      <c r="AC2" s="82" t="str">
        <f ca="1">VLOOKUP(AC1,DB_TBL_DATA_FIELDS[[FIELD_ID]:[FIELD_VALUE_CLEAN]],10,FALSE)</f>
        <v/>
      </c>
      <c r="AD2" s="82" t="str">
        <f ca="1">VLOOKUP(AD1,DB_TBL_DATA_FIELDS[[FIELD_ID]:[FIELD_VALUE_CLEAN]],10,FALSE)</f>
        <v/>
      </c>
      <c r="AE2" s="82" t="str">
        <f ca="1">VLOOKUP(AE1,DB_TBL_DATA_FIELDS[[FIELD_ID]:[FIELD_VALUE_CLEAN]],10,FALSE)</f>
        <v/>
      </c>
      <c r="AF2" s="82" t="str">
        <f>VLOOKUP(AF1,DB_TBL_DATA_FIELDS[[FIELD_ID]:[FIELD_VALUE_CLEAN]],10,FALSE)</f>
        <v/>
      </c>
      <c r="AG2" s="82" t="str">
        <f ca="1">VLOOKUP(AG1,DB_TBL_DATA_FIELDS[[FIELD_ID]:[FIELD_VALUE_CLEAN]],10,FALSE)</f>
        <v/>
      </c>
      <c r="AH2" s="82" t="str">
        <f ca="1">VLOOKUP(AH1,DB_TBL_DATA_FIELDS[[FIELD_ID]:[FIELD_VALUE_CLEAN]],10,FALSE)</f>
        <v/>
      </c>
      <c r="AI2" s="82" t="str">
        <f ca="1">VLOOKUP(AI1,DB_TBL_DATA_FIELDS[[FIELD_ID]:[FIELD_VALUE_CLEAN]],10,FALSE)</f>
        <v/>
      </c>
      <c r="AJ2" s="82" t="str">
        <f ca="1">VLOOKUP(AJ1,DB_TBL_DATA_FIELDS[[FIELD_ID]:[FIELD_VALUE_CLEAN]],10,FALSE)</f>
        <v/>
      </c>
      <c r="AK2" s="82" t="str">
        <f ca="1">VLOOKUP(AK1,DB_TBL_DATA_FIELDS[[FIELD_ID]:[FIELD_VALUE_CLEAN]],10,FALSE)</f>
        <v/>
      </c>
      <c r="AL2" s="82" t="str">
        <f ca="1">VLOOKUP(AL1,DB_TBL_DATA_FIELDS[[FIELD_ID]:[FIELD_VALUE_CLEAN]],10,FALSE)</f>
        <v/>
      </c>
      <c r="AM2" s="82" t="str">
        <f ca="1">VLOOKUP(AM1,DB_TBL_DATA_FIELDS[[FIELD_ID]:[FIELD_VALUE_CLEAN]],10,FALSE)</f>
        <v/>
      </c>
      <c r="AN2" s="82" t="str">
        <f ca="1">VLOOKUP(AN1,DB_TBL_DATA_FIELDS[[FIELD_ID]:[FIELD_VALUE_CLEAN]],10,FALSE)</f>
        <v/>
      </c>
      <c r="AO2" s="82" t="str">
        <f ca="1">VLOOKUP(AO1,DB_TBL_DATA_FIELDS[[FIELD_ID]:[FIELD_VALUE_CLEAN]],10,FALSE)</f>
        <v/>
      </c>
      <c r="AP2" s="82" t="str">
        <f ca="1">VLOOKUP(AP1,DB_TBL_DATA_FIELDS[[FIELD_ID]:[FIELD_VALUE_CLEAN]],10,FALSE)</f>
        <v/>
      </c>
      <c r="AQ2" s="82" t="str">
        <f ca="1">VLOOKUP(AQ1,DB_TBL_DATA_FIELDS[[FIELD_ID]:[FIELD_VALUE_CLEAN]],10,FALSE)</f>
        <v/>
      </c>
      <c r="AR2" s="82" t="str">
        <f ca="1">VLOOKUP(AR1,DB_TBL_DATA_FIELDS[[FIELD_ID]:[FIELD_VALUE_CLEAN]],10,FALSE)</f>
        <v/>
      </c>
      <c r="AS2" s="82" t="str">
        <f ca="1">VLOOKUP(AS1,DB_TBL_DATA_FIELDS[[FIELD_ID]:[FIELD_VALUE_CLEAN]],10,FALSE)</f>
        <v/>
      </c>
      <c r="AT2" s="82" t="str">
        <f ca="1">VLOOKUP(AT1,DB_TBL_DATA_FIELDS[[FIELD_ID]:[FIELD_VALUE_CLEAN]],10,FALSE)</f>
        <v/>
      </c>
      <c r="AU2" s="82" t="str">
        <f ca="1">VLOOKUP(AU1,DB_TBL_DATA_FIELDS[[FIELD_ID]:[FIELD_VALUE_CLEAN]],10,FALSE)</f>
        <v/>
      </c>
      <c r="AV2" s="82" t="str">
        <f ca="1">VLOOKUP(AV1,DB_TBL_DATA_FIELDS[[FIELD_ID]:[FIELD_VALUE_CLEAN]],10,FALSE)</f>
        <v/>
      </c>
      <c r="AW2" s="82" t="str">
        <f ca="1">VLOOKUP(AW1,DB_TBL_DATA_FIELDS[[FIELD_ID]:[FIELD_VALUE_CLEAN]],10,FALSE)</f>
        <v/>
      </c>
      <c r="AX2" s="82" t="str">
        <f ca="1">VLOOKUP(AX1,DB_TBL_DATA_FIELDS[[FIELD_ID]:[FIELD_VALUE_CLEAN]],10,FALSE)</f>
        <v/>
      </c>
      <c r="AY2" s="82" t="str">
        <f ca="1">VLOOKUP(AY1,DB_TBL_DATA_FIELDS[[FIELD_ID]:[FIELD_VALUE_CLEAN]],10,FALSE)</f>
        <v/>
      </c>
      <c r="AZ2" s="82" t="str">
        <f ca="1">VLOOKUP(AZ1,DB_TBL_DATA_FIELDS[[FIELD_ID]:[FIELD_VALUE_CLEAN]],10,FALSE)</f>
        <v/>
      </c>
      <c r="BA2" s="82" t="str">
        <f ca="1">VLOOKUP(BA1,DB_TBL_DATA_FIELDS[[FIELD_ID]:[FIELD_VALUE_CLEAN]],10,FALSE)</f>
        <v/>
      </c>
      <c r="BB2" s="82" t="str">
        <f ca="1">VLOOKUP(BB1,DB_TBL_DATA_FIELDS[[FIELD_ID]:[FIELD_VALUE_CLEAN]],10,FALSE)</f>
        <v/>
      </c>
      <c r="BC2" s="82" t="str">
        <f ca="1">VLOOKUP(BC1,DB_TBL_DATA_FIELDS[[FIELD_ID]:[FIELD_VALUE_CLEAN]],10,FALSE)</f>
        <v/>
      </c>
      <c r="BD2" s="82" t="str">
        <f ca="1">VLOOKUP(BD1,DB_TBL_DATA_FIELDS[[FIELD_ID]:[FIELD_VALUE_CLEAN]],10,FALSE)</f>
        <v/>
      </c>
      <c r="BE2" s="82" t="str">
        <f ca="1">VLOOKUP(BE1,DB_TBL_DATA_FIELDS[[FIELD_ID]:[FIELD_VALUE_CLEAN]],10,FALSE)</f>
        <v/>
      </c>
      <c r="BF2" s="82" t="str">
        <f ca="1">VLOOKUP(BF1,DB_TBL_DATA_FIELDS[[FIELD_ID]:[FIELD_VALUE_CLEAN]],10,FALSE)</f>
        <v/>
      </c>
      <c r="BG2" s="82" t="str">
        <f ca="1">VLOOKUP(BG1,DB_TBL_DATA_FIELDS[[FIELD_ID]:[FIELD_VALUE_CLEAN]],10,FALSE)</f>
        <v/>
      </c>
      <c r="BH2" s="82" t="str">
        <f ca="1">VLOOKUP(BH1,DB_TBL_DATA_FIELDS[[FIELD_ID]:[FIELD_VALUE_CLEAN]],10,FALSE)</f>
        <v/>
      </c>
      <c r="BI2" s="82" t="str">
        <f ca="1">VLOOKUP(BI1,DB_TBL_DATA_FIELDS[[FIELD_ID]:[FIELD_VALUE_CLEAN]],10,FALSE)</f>
        <v/>
      </c>
      <c r="BJ2" s="82" t="str">
        <f ca="1">VLOOKUP(BJ1,DB_TBL_DATA_FIELDS[[FIELD_ID]:[FIELD_VALUE_CLEAN]],10,FALSE)</f>
        <v/>
      </c>
      <c r="BK2" s="82" t="str">
        <f ca="1">VLOOKUP(BK1,DB_TBL_DATA_FIELDS[[FIELD_ID]:[FIELD_VALUE_CLEAN]],10,FALSE)</f>
        <v/>
      </c>
      <c r="BL2" s="82" t="str">
        <f ca="1">VLOOKUP(BL1,DB_TBL_DATA_FIELDS[[FIELD_ID]:[FIELD_VALUE_CLEAN]],10,FALSE)</f>
        <v/>
      </c>
      <c r="BM2" s="82" t="str">
        <f ca="1">VLOOKUP(BM1,DB_TBL_DATA_FIELDS[[FIELD_ID]:[FIELD_VALUE_CLEAN]],10,FALSE)</f>
        <v/>
      </c>
      <c r="BN2" s="82" t="str">
        <f ca="1">VLOOKUP(BN1,DB_TBL_DATA_FIELDS[[FIELD_ID]:[FIELD_VALUE_CLEAN]],10,FALSE)</f>
        <v/>
      </c>
      <c r="BO2" s="82" t="str">
        <f ca="1">VLOOKUP(BO1,DB_TBL_DATA_FIELDS[[FIELD_ID]:[FIELD_VALUE_CLEAN]],10,FALSE)</f>
        <v/>
      </c>
      <c r="BP2" s="82" t="str">
        <f ca="1">VLOOKUP(BP1,DB_TBL_DATA_FIELDS[[FIELD_ID]:[FIELD_VALUE_CLEAN]],10,FALSE)</f>
        <v/>
      </c>
      <c r="BQ2" s="82" t="str">
        <f ca="1">VLOOKUP(BQ1,DB_TBL_DATA_FIELDS[[FIELD_ID]:[FIELD_VALUE_CLEAN]],10,FALSE)</f>
        <v/>
      </c>
      <c r="BR2" s="82" t="str">
        <f ca="1">VLOOKUP(BR1,DB_TBL_DATA_FIELDS[[FIELD_ID]:[FIELD_VALUE_CLEAN]],10,FALSE)</f>
        <v/>
      </c>
      <c r="BS2" s="82" t="str">
        <f ca="1">VLOOKUP(BS1,DB_TBL_DATA_FIELDS[[FIELD_ID]:[FIELD_VALUE_CLEAN]],10,FALSE)</f>
        <v/>
      </c>
      <c r="BT2" s="82" t="str">
        <f ca="1">VLOOKUP(BT1,DB_TBL_DATA_FIELDS[[FIELD_ID]:[FIELD_VALUE_CLEAN]],10,FALSE)</f>
        <v/>
      </c>
      <c r="BU2" s="82" t="str">
        <f ca="1">VLOOKUP(BU1,DB_TBL_DATA_FIELDS[[FIELD_ID]:[FIELD_VALUE_CLEAN]],10,FALSE)</f>
        <v/>
      </c>
      <c r="BV2" s="82" t="str">
        <f ca="1">VLOOKUP(BV1,DB_TBL_DATA_FIELDS[[FIELD_ID]:[FIELD_VALUE_CLEAN]],10,FALSE)</f>
        <v/>
      </c>
      <c r="BW2" s="82" t="str">
        <f ca="1">VLOOKUP(BW1,DB_TBL_DATA_FIELDS[[FIELD_ID]:[FIELD_VALUE_CLEAN]],10,FALSE)</f>
        <v/>
      </c>
      <c r="BX2" s="82" t="str">
        <f ca="1">VLOOKUP(BX1,DB_TBL_DATA_FIELDS[[FIELD_ID]:[FIELD_VALUE_CLEAN]],10,FALSE)</f>
        <v/>
      </c>
      <c r="BY2" s="82" t="str">
        <f ca="1">VLOOKUP(BY1,DB_TBL_DATA_FIELDS[[FIELD_ID]:[FIELD_VALUE_CLEAN]],10,FALSE)</f>
        <v/>
      </c>
      <c r="BZ2" s="82" t="str">
        <f ca="1">VLOOKUP(BZ1,DB_TBL_DATA_FIELDS[[FIELD_ID]:[FIELD_VALUE_CLEAN]],10,FALSE)</f>
        <v/>
      </c>
      <c r="CA2" s="82" t="str">
        <f ca="1">VLOOKUP(CA1,DB_TBL_DATA_FIELDS[[FIELD_ID]:[FIELD_VALUE_CLEAN]],10,FALSE)</f>
        <v/>
      </c>
      <c r="CB2" s="82" t="str">
        <f ca="1">VLOOKUP(CB1,DB_TBL_DATA_FIELDS[[FIELD_ID]:[FIELD_VALUE_CLEAN]],10,FALSE)</f>
        <v/>
      </c>
      <c r="CC2" s="82" t="str">
        <f ca="1">VLOOKUP(CC1,DB_TBL_DATA_FIELDS[[FIELD_ID]:[FIELD_VALUE_CLEAN]],10,FALSE)</f>
        <v/>
      </c>
      <c r="CD2" s="82" t="str">
        <f ca="1">VLOOKUP(CD1,DB_TBL_DATA_FIELDS[[FIELD_ID]:[FIELD_VALUE_CLEAN]],10,FALSE)</f>
        <v/>
      </c>
      <c r="CE2" s="82" t="str">
        <f ca="1">VLOOKUP(CE1,DB_TBL_DATA_FIELDS[[FIELD_ID]:[FIELD_VALUE_CLEAN]],10,FALSE)</f>
        <v/>
      </c>
      <c r="CF2" s="82" t="str">
        <f ca="1">VLOOKUP(CF1,DB_TBL_DATA_FIELDS[[FIELD_ID]:[FIELD_VALUE_CLEAN]],10,FALSE)</f>
        <v/>
      </c>
      <c r="CG2" s="82" t="str">
        <f>VLOOKUP(CG1,DB_TBL_DATA_FIELDS[[FIELD_ID]:[FIELD_VALUE_CLEAN]],10,FALSE)</f>
        <v/>
      </c>
      <c r="CH2" s="82" t="str">
        <f ca="1">VLOOKUP(CH1,DB_TBL_DATA_FIELDS[[FIELD_ID]:[FIELD_VALUE_CLEAN]],10,FALSE)</f>
        <v/>
      </c>
      <c r="CI2" s="82" t="str">
        <f ca="1">VLOOKUP(CI1,DB_TBL_DATA_FIELDS[[FIELD_ID]:[FIELD_VALUE_CLEAN]],10,FALSE)</f>
        <v/>
      </c>
      <c r="CJ2" s="82" t="str">
        <f ca="1">VLOOKUP(CJ1,DB_TBL_DATA_FIELDS[[FIELD_ID]:[FIELD_VALUE_CLEAN]],10,FALSE)</f>
        <v/>
      </c>
      <c r="CK2" s="82" t="str">
        <f ca="1">VLOOKUP(CK1,DB_TBL_DATA_FIELDS[[FIELD_ID]:[FIELD_VALUE_CLEAN]],10,FALSE)</f>
        <v/>
      </c>
      <c r="CL2" s="82" t="str">
        <f>VLOOKUP(CL1,DB_TBL_DATA_FIELDS[[FIELD_ID]:[FIELD_VALUE_CLEAN]],10,FALSE)</f>
        <v/>
      </c>
      <c r="CM2" s="82" t="str">
        <f>VLOOKUP(CM1,DB_TBL_DATA_FIELDS[[FIELD_ID]:[FIELD_VALUE_CLEAN]],10,FALSE)</f>
        <v/>
      </c>
      <c r="CN2" s="82" t="str">
        <f ca="1">VLOOKUP(CN1,DB_TBL_DATA_FIELDS[[FIELD_ID]:[FIELD_VALUE_CLEAN]],10,FALSE)</f>
        <v/>
      </c>
      <c r="CO2" s="82" t="str">
        <f ca="1">VLOOKUP(CO1,DB_TBL_DATA_FIELDS[[FIELD_ID]:[FIELD_VALUE_CLEAN]],10,FALSE)</f>
        <v/>
      </c>
      <c r="CP2" s="82" t="str">
        <f ca="1">VLOOKUP(CP1,DB_TBL_DATA_FIELDS[[FIELD_ID]:[FIELD_VALUE_CLEAN]],10,FALSE)</f>
        <v/>
      </c>
      <c r="CQ2" s="82" t="str">
        <f ca="1">VLOOKUP(CQ1,DB_TBL_DATA_FIELDS[[FIELD_ID]:[FIELD_VALUE_CLEAN]],10,FALSE)</f>
        <v/>
      </c>
      <c r="CR2" s="82" t="str">
        <f ca="1">VLOOKUP(CR1,DB_TBL_DATA_FIELDS[[FIELD_ID]:[FIELD_VALUE_CLEAN]],10,FALSE)</f>
        <v/>
      </c>
      <c r="CS2" s="82" t="str">
        <f ca="1">VLOOKUP(CS1,DB_TBL_DATA_FIELDS[[FIELD_ID]:[FIELD_VALUE_CLEAN]],10,FALSE)</f>
        <v/>
      </c>
      <c r="CT2" s="82" t="str">
        <f ca="1">VLOOKUP(CT1,DB_TBL_DATA_FIELDS[[FIELD_ID]:[FIELD_VALUE_CLEAN]],10,FALSE)</f>
        <v/>
      </c>
      <c r="CU2" s="82" t="str">
        <f ca="1">VLOOKUP(CU1,DB_TBL_DATA_FIELDS[[FIELD_ID]:[FIELD_VALUE_CLEAN]],10,FALSE)</f>
        <v/>
      </c>
      <c r="CV2" s="82" t="str">
        <f>VLOOKUP(CV1,DB_TBL_DATA_FIELDS[[FIELD_ID]:[FIELD_VALUE_CLEAN]],10,FALSE)</f>
        <v/>
      </c>
      <c r="CW2" s="82" t="str">
        <f ca="1">VLOOKUP(CW1,DB_TBL_DATA_FIELDS[[FIELD_ID]:[FIELD_VALUE_CLEAN]],10,FALSE)</f>
        <v/>
      </c>
      <c r="CX2" s="82" t="str">
        <f ca="1">VLOOKUP(CX1,DB_TBL_DATA_FIELDS[[FIELD_ID]:[FIELD_VALUE_CLEAN]],10,FALSE)</f>
        <v/>
      </c>
      <c r="CY2" s="82" t="str">
        <f ca="1">VLOOKUP(CY1,DB_TBL_DATA_FIELDS[[FIELD_ID]:[FIELD_VALUE_CLEAN]],10,FALSE)</f>
        <v/>
      </c>
      <c r="CZ2" s="82" t="str">
        <f ca="1">VLOOKUP(CZ1,DB_TBL_DATA_FIELDS[[FIELD_ID]:[FIELD_VALUE_CLEAN]],10,FALSE)</f>
        <v/>
      </c>
      <c r="DA2" s="82" t="str">
        <f ca="1">VLOOKUP(DA1,DB_TBL_DATA_FIELDS[[FIELD_ID]:[FIELD_VALUE_CLEAN]],10,FALSE)</f>
        <v/>
      </c>
      <c r="DB2" s="82" t="str">
        <f ca="1">VLOOKUP(DB1,DB_TBL_DATA_FIELDS[[FIELD_ID]:[FIELD_VALUE_CLEAN]],10,FALSE)</f>
        <v/>
      </c>
      <c r="DC2" s="82" t="str">
        <f ca="1">VLOOKUP(DC1,DB_TBL_DATA_FIELDS[[FIELD_ID]:[FIELD_VALUE_CLEAN]],10,FALSE)</f>
        <v/>
      </c>
      <c r="DD2" s="82" t="str">
        <f ca="1">VLOOKUP(DD1,DB_TBL_DATA_FIELDS[[FIELD_ID]:[FIELD_VALUE_CLEAN]],10,FALSE)</f>
        <v/>
      </c>
      <c r="DE2" s="82" t="str">
        <f ca="1">VLOOKUP(DE1,DB_TBL_DATA_FIELDS[[FIELD_ID]:[FIELD_VALUE_CLEAN]],10,FALSE)</f>
        <v/>
      </c>
      <c r="DF2" s="82" t="str">
        <f ca="1">VLOOKUP(DF1,DB_TBL_DATA_FIELDS[[FIELD_ID]:[FIELD_VALUE_CLEAN]],10,FALSE)</f>
        <v/>
      </c>
      <c r="DG2" s="82" t="str">
        <f ca="1">VLOOKUP(DG1,DB_TBL_DATA_FIELDS[[FIELD_ID]:[FIELD_VALUE_CLEAN]],10,FALSE)</f>
        <v/>
      </c>
      <c r="DH2" s="82" t="str">
        <f ca="1">VLOOKUP(DH1,DB_TBL_DATA_FIELDS[[FIELD_ID]:[FIELD_VALUE_CLEAN]],10,FALSE)</f>
        <v/>
      </c>
      <c r="DI2" s="82" t="str">
        <f ca="1">VLOOKUP(DI1,DB_TBL_DATA_FIELDS[[FIELD_ID]:[FIELD_VALUE_CLEAN]],10,FALSE)</f>
        <v/>
      </c>
      <c r="DJ2" s="82" t="str">
        <f ca="1">VLOOKUP(DJ1,DB_TBL_DATA_FIELDS[[FIELD_ID]:[FIELD_VALUE_CLEAN]],10,FALSE)</f>
        <v/>
      </c>
      <c r="DK2" s="82" t="str">
        <f ca="1">VLOOKUP(DK1,DB_TBL_DATA_FIELDS[[FIELD_ID]:[FIELD_VALUE_CLEAN]],10,FALSE)</f>
        <v/>
      </c>
      <c r="DL2" s="82" t="str">
        <f ca="1">VLOOKUP(DL1,DB_TBL_DATA_FIELDS[[FIELD_ID]:[FIELD_VALUE_CLEAN]],10,FALSE)</f>
        <v/>
      </c>
      <c r="DM2" s="82" t="str">
        <f ca="1">VLOOKUP(DM1,DB_TBL_DATA_FIELDS[[FIELD_ID]:[FIELD_VALUE_CLEAN]],10,FALSE)</f>
        <v/>
      </c>
      <c r="DN2" s="82" t="str">
        <f ca="1">VLOOKUP(DN1,DB_TBL_DATA_FIELDS[[FIELD_ID]:[FIELD_VALUE_CLEAN]],10,FALSE)</f>
        <v/>
      </c>
      <c r="DO2" s="82" t="str">
        <f ca="1">VLOOKUP(DO1,DB_TBL_DATA_FIELDS[[FIELD_ID]:[FIELD_VALUE_CLEAN]],10,FALSE)</f>
        <v/>
      </c>
      <c r="DP2" s="82" t="str">
        <f>VLOOKUP(DP1,DB_TBL_DATA_FIELDS[[FIELD_ID]:[FIELD_VALUE_CLEAN]],10,FALSE)</f>
        <v/>
      </c>
      <c r="DQ2" s="82" t="str">
        <f>VLOOKUP(DQ1,DB_TBL_DATA_FIELDS[[FIELD_ID]:[FIELD_VALUE_CLEAN]],10,FALSE)</f>
        <v/>
      </c>
      <c r="DR2" s="82" t="str">
        <f ca="1">VLOOKUP(DR1,DB_TBL_DATA_FIELDS[[FIELD_ID]:[FIELD_VALUE_CLEAN]],10,FALSE)</f>
        <v/>
      </c>
      <c r="DS2" s="82" t="str">
        <f ca="1">VLOOKUP(DS1,DB_TBL_DATA_FIELDS[[FIELD_ID]:[FIELD_VALUE_CLEAN]],10,FALSE)</f>
        <v/>
      </c>
      <c r="DT2" s="82" t="str">
        <f ca="1">VLOOKUP(DT1,DB_TBL_DATA_FIELDS[[FIELD_ID]:[FIELD_VALUE_CLEAN]],10,FALSE)</f>
        <v/>
      </c>
      <c r="DU2" s="82" t="str">
        <f ca="1">VLOOKUP(DU1,DB_TBL_DATA_FIELDS[[FIELD_ID]:[FIELD_VALUE_CLEAN]],10,FALSE)</f>
        <v/>
      </c>
      <c r="DV2" s="82" t="str">
        <f ca="1">VLOOKUP(DV1,DB_TBL_DATA_FIELDS[[FIELD_ID]:[FIELD_VALUE_CLEAN]],10,FALSE)</f>
        <v/>
      </c>
      <c r="DW2" s="82" t="str">
        <f ca="1">VLOOKUP(DW1,DB_TBL_DATA_FIELDS[[FIELD_ID]:[FIELD_VALUE_CLEAN]],10,FALSE)</f>
        <v/>
      </c>
      <c r="DX2" s="82" t="str">
        <f>VLOOKUP(DX1,DB_TBL_DATA_FIELDS[[FIELD_ID]:[FIELD_VALUE_CLEAN]],10,FALSE)</f>
        <v/>
      </c>
      <c r="DY2" s="82" t="str">
        <f ca="1">VLOOKUP(DY1,DB_TBL_DATA_FIELDS[[FIELD_ID]:[FIELD_VALUE_CLEAN]],10,FALSE)</f>
        <v/>
      </c>
      <c r="DZ2" s="82" t="str">
        <f ca="1">VLOOKUP(DZ1,DB_TBL_DATA_FIELDS[[FIELD_ID]:[FIELD_VALUE_CLEAN]],10,FALSE)</f>
        <v/>
      </c>
      <c r="EA2" s="82" t="str">
        <f ca="1">VLOOKUP(EA1,DB_TBL_DATA_FIELDS[[FIELD_ID]:[FIELD_VALUE_CLEAN]],10,FALSE)</f>
        <v/>
      </c>
      <c r="EB2" s="82" t="str">
        <f ca="1">VLOOKUP(EB1,DB_TBL_DATA_FIELDS[[FIELD_ID]:[FIELD_VALUE_CLEAN]],10,FALSE)</f>
        <v/>
      </c>
      <c r="EC2" s="82" t="str">
        <f ca="1">VLOOKUP(EC1,DB_TBL_DATA_FIELDS[[FIELD_ID]:[FIELD_VALUE_CLEAN]],10,FALSE)</f>
        <v>N</v>
      </c>
      <c r="ED2" s="82" t="str">
        <f ca="1">VLOOKUP(ED1,DB_TBL_DATA_FIELDS[[FIELD_ID]:[FIELD_VALUE_CLEAN]],10,FALSE)</f>
        <v>N</v>
      </c>
      <c r="EE2" s="82" t="str">
        <f ca="1">VLOOKUP(EE1,DB_TBL_DATA_FIELDS[[FIELD_ID]:[FIELD_VALUE_CLEAN]],10,FALSE)</f>
        <v/>
      </c>
      <c r="EF2" s="82" t="str">
        <f ca="1">VLOOKUP(EF1,DB_TBL_DATA_FIELDS[[FIELD_ID]:[FIELD_VALUE_CLEAN]],10,FALSE)</f>
        <v/>
      </c>
      <c r="EG2" s="82" t="str">
        <f ca="1">VLOOKUP(EG1,DB_TBL_DATA_FIELDS[[FIELD_ID]:[FIELD_VALUE_CLEAN]],10,FALSE)</f>
        <v/>
      </c>
      <c r="EH2" s="82" t="str">
        <f ca="1">VLOOKUP(EH1,DB_TBL_DATA_FIELDS[[FIELD_ID]:[FIELD_VALUE_CLEAN]],10,FALSE)</f>
        <v/>
      </c>
      <c r="EI2" s="82" t="str">
        <f ca="1">VLOOKUP(EI1,DB_TBL_DATA_FIELDS[[FIELD_ID]:[FIELD_VALUE_CLEAN]],10,FALSE)</f>
        <v/>
      </c>
      <c r="EJ2" s="82" t="str">
        <f ca="1">VLOOKUP(EJ1,DB_TBL_DATA_FIELDS[[FIELD_ID]:[FIELD_VALUE_CLEAN]],10,FALSE)</f>
        <v/>
      </c>
      <c r="EK2" s="82" t="str">
        <f ca="1">VLOOKUP(EK1,DB_TBL_DATA_FIELDS[[FIELD_ID]:[FIELD_VALUE_CLEAN]],10,FALSE)</f>
        <v/>
      </c>
      <c r="EL2" s="82" t="str">
        <f ca="1">VLOOKUP(EL1,DB_TBL_DATA_FIELDS[[FIELD_ID]:[FIELD_VALUE_CLEAN]],10,FALSE)</f>
        <v/>
      </c>
      <c r="EM2" s="82" t="str">
        <f ca="1">VLOOKUP(EM1,DB_TBL_DATA_FIELDS[[FIELD_ID]:[FIELD_VALUE_CLEAN]],10,FALSE)</f>
        <v/>
      </c>
      <c r="EN2" s="82" t="str">
        <f ca="1">VLOOKUP(EN1,DB_TBL_DATA_FIELDS[[FIELD_ID]:[FIELD_VALUE_CLEAN]],10,FALSE)</f>
        <v/>
      </c>
      <c r="EO2" s="82" t="str">
        <f ca="1">VLOOKUP(EO1,DB_TBL_DATA_FIELDS[[FIELD_ID]:[FIELD_VALUE_CLEAN]],10,FALSE)</f>
        <v/>
      </c>
      <c r="EP2" s="82" t="str">
        <f ca="1">VLOOKUP(EP1,DB_TBL_DATA_FIELDS[[FIELD_ID]:[FIELD_VALUE_CLEAN]],10,FALSE)</f>
        <v/>
      </c>
      <c r="EQ2" s="82" t="str">
        <f ca="1">VLOOKUP(EQ1,DB_TBL_DATA_FIELDS[[FIELD_ID]:[FIELD_VALUE_CLEAN]],10,FALSE)</f>
        <v/>
      </c>
      <c r="ER2" s="82" t="str">
        <f ca="1">VLOOKUP(ER1,DB_TBL_DATA_FIELDS[[FIELD_ID]:[FIELD_VALUE_CLEAN]],10,FALSE)</f>
        <v/>
      </c>
      <c r="ES2" s="82" t="str">
        <f ca="1">VLOOKUP(ES1,DB_TBL_DATA_FIELDS[[FIELD_ID]:[FIELD_VALUE_CLEAN]],10,FALSE)</f>
        <v/>
      </c>
      <c r="ET2" s="82" t="str">
        <f ca="1">VLOOKUP(ET1,DB_TBL_DATA_FIELDS[[FIELD_ID]:[FIELD_VALUE_CLEAN]],10,FALSE)</f>
        <v/>
      </c>
      <c r="EU2" s="82" t="str">
        <f ca="1">VLOOKUP(EU1,DB_TBL_DATA_FIELDS[[FIELD_ID]:[FIELD_VALUE_CLEAN]],10,FALSE)</f>
        <v/>
      </c>
      <c r="EV2" s="82" t="str">
        <f ca="1">VLOOKUP(EV1,DB_TBL_DATA_FIELDS[[FIELD_ID]:[FIELD_VALUE_CLEAN]],10,FALSE)</f>
        <v/>
      </c>
      <c r="EW2" s="82" t="str">
        <f ca="1">VLOOKUP(EW1,DB_TBL_DATA_FIELDS[[FIELD_ID]:[FIELD_VALUE_CLEAN]],10,FALSE)</f>
        <v/>
      </c>
    </row>
  </sheetData>
  <sheetProtection algorithmName="SHA-512" hashValue="3j4Ft4lhZ+JY8NHgsj3cCEthH/pGTeyYWw1kay0sBA7eJUtNCcXNcTbxwPA/ij6ccxje+l2EgGdKZVQ69A+JgQ==" saltValue="/PADuGBIhcMVIeY35BJYFQ==" spinCount="100000" sheet="1" objects="1" scenarios="1"/>
  <pageMargins left="0.7" right="0.7" top="0.75" bottom="0.75" header="0.3" footer="0.3"/>
  <pageSetup orientation="portrait" r:id="rId1"/>
  <headerFooter>
    <oddFooter>&amp;L&amp;1#&amp;"Calibri"&amp;9&amp;K0000FFFHLBank San Francisco | Internal</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251</vt:i4>
      </vt:variant>
    </vt:vector>
  </HeadingPairs>
  <TitlesOfParts>
    <vt:vector size="259" baseType="lpstr">
      <vt:lpstr>WELCOME</vt:lpstr>
      <vt:lpstr>RentalApp</vt:lpstr>
      <vt:lpstr>OwnerApp</vt:lpstr>
      <vt:lpstr>Configuration</vt:lpstr>
      <vt:lpstr>$DB.DATA</vt:lpstr>
      <vt:lpstr>$DB.LOOKUP</vt:lpstr>
      <vt:lpstr>$DB.CONFIG</vt:lpstr>
      <vt:lpstr>$DB.EXPORT</vt:lpstr>
      <vt:lpstr>BUILDINGPERMIT_UNITS</vt:lpstr>
      <vt:lpstr>CONFIG_CHAR_LIMIT_LARGE</vt:lpstr>
      <vt:lpstr>CONFIG_CHAR_LIMIT_MEDIUM</vt:lpstr>
      <vt:lpstr>CONFIG_CHAR_LIMIT_SMALL</vt:lpstr>
      <vt:lpstr>CONFIG_CHAR_LIMIT_TEMPLATE</vt:lpstr>
      <vt:lpstr>CONFIG_CHAR_LIMIT_TEMPLATE_ERR</vt:lpstr>
      <vt:lpstr>CONFIG_CHAR_LIMIT_XLARGE</vt:lpstr>
      <vt:lpstr>CONFIG_POINT_HEADER_TEMPLATE</vt:lpstr>
      <vt:lpstr>CONFIG_SCORE_SUBHEADER_TEMPLATE</vt:lpstr>
      <vt:lpstr>CONFIG_SUBMISSION_DEADLINE</vt:lpstr>
      <vt:lpstr>CONFIG_SUBSIDY_MAX_TOTAL</vt:lpstr>
      <vt:lpstr>CONFORMING_UNITS</vt:lpstr>
      <vt:lpstr>COUNTY_RANGE_</vt:lpstr>
      <vt:lpstr>COUNTY_RANGE_AK</vt:lpstr>
      <vt:lpstr>COUNTY_RANGE_AL</vt:lpstr>
      <vt:lpstr>COUNTY_RANGE_AR</vt:lpstr>
      <vt:lpstr>COUNTY_RANGE_AZ</vt:lpstr>
      <vt:lpstr>COUNTY_RANGE_CA</vt:lpstr>
      <vt:lpstr>COUNTY_RANGE_CO</vt:lpstr>
      <vt:lpstr>COUNTY_RANGE_CT</vt:lpstr>
      <vt:lpstr>COUNTY_RANGE_DC</vt:lpstr>
      <vt:lpstr>COUNTY_RANGE_DE</vt:lpstr>
      <vt:lpstr>COUNTY_RANGE_FL</vt:lpstr>
      <vt:lpstr>COUNTY_RANGE_GA</vt:lpstr>
      <vt:lpstr>COUNTY_RANGE_GU</vt:lpstr>
      <vt:lpstr>COUNTY_RANGE_HI</vt:lpstr>
      <vt:lpstr>COUNTY_RANGE_IA</vt:lpstr>
      <vt:lpstr>COUNTY_RANGE_ID</vt:lpstr>
      <vt:lpstr>COUNTY_RANGE_IL</vt:lpstr>
      <vt:lpstr>COUNTY_RANGE_IN</vt:lpstr>
      <vt:lpstr>COUNTY_RANGE_KS</vt:lpstr>
      <vt:lpstr>COUNTY_RANGE_KY</vt:lpstr>
      <vt:lpstr>COUNTY_RANGE_LA</vt:lpstr>
      <vt:lpstr>COUNTY_RANGE_MA</vt:lpstr>
      <vt:lpstr>COUNTY_RANGE_MD</vt:lpstr>
      <vt:lpstr>COUNTY_RANGE_ME</vt:lpstr>
      <vt:lpstr>COUNTY_RANGE_MI</vt:lpstr>
      <vt:lpstr>COUNTY_RANGE_MN</vt:lpstr>
      <vt:lpstr>COUNTY_RANGE_MO</vt:lpstr>
      <vt:lpstr>COUNTY_RANGE_MS</vt:lpstr>
      <vt:lpstr>COUNTY_RANGE_MT</vt:lpstr>
      <vt:lpstr>COUNTY_RANGE_NC</vt:lpstr>
      <vt:lpstr>COUNTY_RANGE_ND</vt:lpstr>
      <vt:lpstr>COUNTY_RANGE_NE</vt:lpstr>
      <vt:lpstr>COUNTY_RANGE_NH</vt:lpstr>
      <vt:lpstr>COUNTY_RANGE_NJ</vt:lpstr>
      <vt:lpstr>COUNTY_RANGE_NM</vt:lpstr>
      <vt:lpstr>COUNTY_RANGE_NV</vt:lpstr>
      <vt:lpstr>COUNTY_RANGE_NY</vt:lpstr>
      <vt:lpstr>COUNTY_RANGE_OH</vt:lpstr>
      <vt:lpstr>COUNTY_RANGE_OK</vt:lpstr>
      <vt:lpstr>COUNTY_RANGE_OR</vt:lpstr>
      <vt:lpstr>COUNTY_RANGE_PA</vt:lpstr>
      <vt:lpstr>COUNTY_RANGE_PR</vt:lpstr>
      <vt:lpstr>COUNTY_RANGE_RI</vt:lpstr>
      <vt:lpstr>COUNTY_RANGE_SC</vt:lpstr>
      <vt:lpstr>COUNTY_RANGE_SD</vt:lpstr>
      <vt:lpstr>COUNTY_RANGE_TN</vt:lpstr>
      <vt:lpstr>COUNTY_RANGE_TX</vt:lpstr>
      <vt:lpstr>COUNTY_RANGE_UT</vt:lpstr>
      <vt:lpstr>COUNTY_RANGE_VA</vt:lpstr>
      <vt:lpstr>COUNTY_RANGE_VI</vt:lpstr>
      <vt:lpstr>COUNTY_RANGE_VT</vt:lpstr>
      <vt:lpstr>COUNTY_RANGE_WA</vt:lpstr>
      <vt:lpstr>COUNTY_RANGE_WI</vt:lpstr>
      <vt:lpstr>COUNTY_RANGE_WV</vt:lpstr>
      <vt:lpstr>COUNTY_RANGE_WY</vt:lpstr>
      <vt:lpstr>CS_DISPLACEMENT_A_RESULT</vt:lpstr>
      <vt:lpstr>CS_DISPLACEMENT_A_RESULT_CODE_NODISPLACEMENT</vt:lpstr>
      <vt:lpstr>CS_PLANNING_A_RESULT</vt:lpstr>
      <vt:lpstr>CS_PROXIMITY_AMENITIES_DESC_REQUIRED_FLG</vt:lpstr>
      <vt:lpstr>CS_PROXIMITY_TRANSITLINES_DESC_REQUIRED_FLG</vt:lpstr>
      <vt:lpstr>CS_REVITALIZING_A_CODE</vt:lpstr>
      <vt:lpstr>CS_REVITALIZING_A_RESULT</vt:lpstr>
      <vt:lpstr>CS_REVITALIZING_B_RESULT</vt:lpstr>
      <vt:lpstr>CS_SUSTAINABLE_A_RESULT</vt:lpstr>
      <vt:lpstr>CS_SUSTAINABLE_DESC_REQUIRED_FLG</vt:lpstr>
      <vt:lpstr>DATA_ADV_AMT</vt:lpstr>
      <vt:lpstr>DATA_CONSTR_REHAB_START_DATE</vt:lpstr>
      <vt:lpstr>DATA_CS_DISPLACEMENT_A_CODE</vt:lpstr>
      <vt:lpstr>DATA_CS_INTEGRATION_CENSUSTRACTS_FLG</vt:lpstr>
      <vt:lpstr>DATA_CS_INTEGRATION_HOMEOWNEROP_FLG</vt:lpstr>
      <vt:lpstr>DATA_CS_PLANNING_A_CODE</vt:lpstr>
      <vt:lpstr>DATA_CS_PROXIMITY_AMENITIES</vt:lpstr>
      <vt:lpstr>DATA_CS_PROXIMITY_TRANSITLINES</vt:lpstr>
      <vt:lpstr>DATA_CS_PRXIMITY_AMENITIES</vt:lpstr>
      <vt:lpstr>DATA_CS_REVITALIZING_A_CODE</vt:lpstr>
      <vt:lpstr>DATA_CS_SUSTAINABLE_A_CODE</vt:lpstr>
      <vt:lpstr>DATA_DEVELOPER_FEE_BRACKET</vt:lpstr>
      <vt:lpstr>DATA_DIR_SUB_AMT</vt:lpstr>
      <vt:lpstr>DATA_DIR_SUB_AMT_REQUIRED</vt:lpstr>
      <vt:lpstr>DATA_EMPMNT_AFTERSCHOOL_FLG</vt:lpstr>
      <vt:lpstr>DATA_EMPMNT_ONSITEDAYCARE_FLG</vt:lpstr>
      <vt:lpstr>DATA_EMPMNT_ONSITEHEALTH_FLG</vt:lpstr>
      <vt:lpstr>DATA_EMPMNT_OWNERCOUNSELING_FLG</vt:lpstr>
      <vt:lpstr>DATA_EMPMNT_SOCIALWORKER_FLG</vt:lpstr>
      <vt:lpstr>DATA_EMPMNT_SWEATEQUITY_FLG</vt:lpstr>
      <vt:lpstr>DATA_EMPMNT_WORKFORCEDEV_FLG</vt:lpstr>
      <vt:lpstr>DATA_FIRSTTIME_HOMEBUYER_UNITS</vt:lpstr>
      <vt:lpstr>DATA_GP_ORG_TYPE</vt:lpstr>
      <vt:lpstr>DATA_GP_OWNERSHIP_INTEREST</vt:lpstr>
      <vt:lpstr>DATA_GP2_NAME</vt:lpstr>
      <vt:lpstr>DATA_GP2_ORG_TYPE</vt:lpstr>
      <vt:lpstr>DATA_GP2_OWNERSHIP_INTEREST</vt:lpstr>
      <vt:lpstr>DATA_GP3_ORG_TYPE</vt:lpstr>
      <vt:lpstr>DATA_GP3_OWNERSHIP_INTEREST</vt:lpstr>
      <vt:lpstr>DATA_HOMELESS_UNITS</vt:lpstr>
      <vt:lpstr>DATA_IN_DISTRICT</vt:lpstr>
      <vt:lpstr>DATA_INCOME_RESTRICTED_UNITS</vt:lpstr>
      <vt:lpstr>DATA_LARGE_UNITS</vt:lpstr>
      <vt:lpstr>DATA_MANAGER_UNITS</vt:lpstr>
      <vt:lpstr>DATA_POTENTIAL_HOMEBUYERS_UNITS</vt:lpstr>
      <vt:lpstr>DATA_RURAL_UNITS</vt:lpstr>
      <vt:lpstr>DATA_SCORE_COMMSTAB_FINAL</vt:lpstr>
      <vt:lpstr>DATA_SCORE_DONATEDCONVEYED_FINAL</vt:lpstr>
      <vt:lpstr>DATA_SCORE_DONATEDCONVEYED_TOTAL</vt:lpstr>
      <vt:lpstr>DATA_SCORE_EMPOWERMENT_FINAL</vt:lpstr>
      <vt:lpstr>DATA_SCORE_HOMELESS_FINAL</vt:lpstr>
      <vt:lpstr>DATA_SCORE_HOMELESS_NETUNITS_VARIABLE</vt:lpstr>
      <vt:lpstr>DATA_SCORE_HOMEPURCHASE_FINAL</vt:lpstr>
      <vt:lpstr>DATA_SCORE_INDISTRICT_FINAL</vt:lpstr>
      <vt:lpstr>DATA_SCORE_LARGEUNITS_FINAL</vt:lpstr>
      <vt:lpstr>DATA_SCORE_NONPROFSPONS_FINAL</vt:lpstr>
      <vt:lpstr>DATA_SCORE_NONPROFSPONS_OWNER</vt:lpstr>
      <vt:lpstr>DATA_SCORE_NONPROFSPONS_RENTAL</vt:lpstr>
      <vt:lpstr>DATA_SCORE_NONPROFSPONS_RENTAL_OWNERSHIPPCT</vt:lpstr>
      <vt:lpstr>DATA_SCORE_PROJREADY_FINAL</vt:lpstr>
      <vt:lpstr>DATA_SCORE_PROJREADY_OWNER</vt:lpstr>
      <vt:lpstr>DATA_SCORE_PROJREADY_RENTAL</vt:lpstr>
      <vt:lpstr>DATA_SCORE_RURAL_FINAL</vt:lpstr>
      <vt:lpstr>DATA_SCORE_SPECIALNEEDS_FINAL</vt:lpstr>
      <vt:lpstr>DATA_SCORE_SPU_FINAL</vt:lpstr>
      <vt:lpstr>DATA_SCORE_SUM_FINAL</vt:lpstr>
      <vt:lpstr>DATA_SCORE_TRGT_ENTAL_ADJUSTMENT</vt:lpstr>
      <vt:lpstr>DATA_SCORE_TRGT_FINAL</vt:lpstr>
      <vt:lpstr>DATA_SCORE_TRGT_OWNER</vt:lpstr>
      <vt:lpstr>DATA_SCORE_TRGT_RENTAL</vt:lpstr>
      <vt:lpstr>DATA_SCORE_TRGT_RENTAL_BASE_VARIABLE</vt:lpstr>
      <vt:lpstr>DATA_SCORE_TRGT_RENTAL_FINAL</vt:lpstr>
      <vt:lpstr>DATA_SCORE_TRGT_RENTAL_VLI_PCT_VARIABLE</vt:lpstr>
      <vt:lpstr>DATA_SCORE_TRGT_RENTAL_WAAMIT</vt:lpstr>
      <vt:lpstr>DATA_SPECIALNEEDS_TOTAL_UNITS</vt:lpstr>
      <vt:lpstr>DATA_SPONSOR_CERT_COVEREDMISCONDUCT_FLG</vt:lpstr>
      <vt:lpstr>DATA_SPONSOR_CONSTRUCTION_FLG</vt:lpstr>
      <vt:lpstr>DATA_SPONSOR_ORG_TYPE_CATEGORY</vt:lpstr>
      <vt:lpstr>DATA_SPONSOR_OWNERSHIP_INTEREST_BRACKET</vt:lpstr>
      <vt:lpstr>DATA_SPONSOR_POSTPURCH_CNSLING_FLG</vt:lpstr>
      <vt:lpstr>DATA_SPONSOR_PREPURCH_CNSLING_FLG</vt:lpstr>
      <vt:lpstr>DATA_SPONSOR_PROJECT_DEV_FLG</vt:lpstr>
      <vt:lpstr>DATA_SPONSOR_PROJECT_FINANCING_OWNER_FLG</vt:lpstr>
      <vt:lpstr>DATA_SPONSOR_PROJECT_PLANNING_FLG</vt:lpstr>
      <vt:lpstr>DATA_SPONSOR_PROJECT_SELFHELPHSEHLDS_FLG</vt:lpstr>
      <vt:lpstr>DATA_SPONSOR_QUALIFYBUYERS_FLG</vt:lpstr>
      <vt:lpstr>DATA_SPU_REF_SUBSIDY_PER_UNIT</vt:lpstr>
      <vt:lpstr>DATA_TOTAL_UNITS</vt:lpstr>
      <vt:lpstr>DATA_UNDERFMV_UNITS_FMT_PCT</vt:lpstr>
      <vt:lpstr>DATA_UNDERFMV_UNITS_FMV_AMT</vt:lpstr>
      <vt:lpstr>DATA_UNIQUEFIN_TAXCREDIT_HYBRID_FLG</vt:lpstr>
      <vt:lpstr>DATA_UNIQUEFIN_UNITS_DSTRIB_FLG</vt:lpstr>
      <vt:lpstr>DONATED_UNITS</vt:lpstr>
      <vt:lpstr>FEDACQUIRED_UNITS</vt:lpstr>
      <vt:lpstr>FULLCONTROL_UNITS</vt:lpstr>
      <vt:lpstr>LIMITED_PARTNERSHIP_FLAG</vt:lpstr>
      <vt:lpstr>LOOKUP_COMMSTABILITY_CODES</vt:lpstr>
      <vt:lpstr>LOOKUP_CONSTRUCTIONTIMING</vt:lpstr>
      <vt:lpstr>LOOKUP_DEVELOPER_FEE</vt:lpstr>
      <vt:lpstr>LOOKUP_DISBURSEMENTPHASE</vt:lpstr>
      <vt:lpstr>LOOKUP_FHLBANKDISTRICTS</vt:lpstr>
      <vt:lpstr>LOOKUP_FULLCONTROL_SUPPORTINGDOCS</vt:lpstr>
      <vt:lpstr>LOOKUP_FULLCONTROL_SUPPORTINGDOCS_OWNER</vt:lpstr>
      <vt:lpstr>LOOKUP_GP_ORGTYPE</vt:lpstr>
      <vt:lpstr>LOOKUP_PARTCONTROL_SUPPORTINGDOCS</vt:lpstr>
      <vt:lpstr>LOOKUP_PARTCONTROL_SUPPORTINGDOCS_OWNER</vt:lpstr>
      <vt:lpstr>LOOKUP_PROJECTTYPE_DROPDOWN</vt:lpstr>
      <vt:lpstr>LOOKUP_PROJFAMILYSIZETYPE</vt:lpstr>
      <vt:lpstr>LOOKUP_SPONSOR_OWNERSHIP_BRACKET</vt:lpstr>
      <vt:lpstr>NONCONFORMING_UNITS</vt:lpstr>
      <vt:lpstr>NONPROFIT_ORG_DESCRIPTION</vt:lpstr>
      <vt:lpstr>PARTCONTROL_UNITS</vt:lpstr>
      <vt:lpstr>Configuration!Print_Area</vt:lpstr>
      <vt:lpstr>OwnerApp!Print_Area</vt:lpstr>
      <vt:lpstr>RentalApp!Print_Area</vt:lpstr>
      <vt:lpstr>WELCOME!Print_Area</vt:lpstr>
      <vt:lpstr>Configuration!Print_Titles</vt:lpstr>
      <vt:lpstr>PROJ_STATE</vt:lpstr>
      <vt:lpstr>PROJ_STATE_IN_DISTRICT_FLAG</vt:lpstr>
      <vt:lpstr>RANGE_LOOKUP_COUNTY_PLACEHOLDER</vt:lpstr>
      <vt:lpstr>RANGE_LOOKUP_SPONSTYPE</vt:lpstr>
      <vt:lpstr>RANGE_LOOKUP_STATE</vt:lpstr>
      <vt:lpstr>RANGE_LOOKUP_YESNO</vt:lpstr>
      <vt:lpstr>RANGE_LOOKUP_YESNONA</vt:lpstr>
      <vt:lpstr>READYLETTER_UNITS</vt:lpstr>
      <vt:lpstr>SCATTERED_SITE_ALLINDISTRICT_FLAG</vt:lpstr>
      <vt:lpstr>SCATTERED_SITE_DOWNPAYMENT_FLAG</vt:lpstr>
      <vt:lpstr>SCATTERED_SITE_FLG</vt:lpstr>
      <vt:lpstr>SPONSOR_CERTIFICATION_INDICATOR</vt:lpstr>
      <vt:lpstr>TARGET_CONFIG_TOP</vt:lpstr>
      <vt:lpstr>TARGET_OWNER_1_START</vt:lpstr>
      <vt:lpstr>TARGET_OWNER_10_START</vt:lpstr>
      <vt:lpstr>TARGET_OWNER_11_START</vt:lpstr>
      <vt:lpstr>TARGET_OWNER_12_START</vt:lpstr>
      <vt:lpstr>TARGET_OWNER_13_START</vt:lpstr>
      <vt:lpstr>TARGET_OWNER_14_START</vt:lpstr>
      <vt:lpstr>TARGET_OWNER_15_START</vt:lpstr>
      <vt:lpstr>TARGET_OWNER_16_START</vt:lpstr>
      <vt:lpstr>TARGET_OWNER_17_START</vt:lpstr>
      <vt:lpstr>TARGET_OWNER_18_START</vt:lpstr>
      <vt:lpstr>TARGET_OWNER_19_START</vt:lpstr>
      <vt:lpstr>TARGET_OWNER_2_START</vt:lpstr>
      <vt:lpstr>TARGET_OWNER_20_START</vt:lpstr>
      <vt:lpstr>TARGET_OWNER_21_START</vt:lpstr>
      <vt:lpstr>TARGET_OWNER_22_START</vt:lpstr>
      <vt:lpstr>TARGET_OWNER_23_START</vt:lpstr>
      <vt:lpstr>TARGET_OWNER_24_START</vt:lpstr>
      <vt:lpstr>TARGET_OWNER_3_START</vt:lpstr>
      <vt:lpstr>TARGET_OWNER_4_START</vt:lpstr>
      <vt:lpstr>TARGET_OWNER_5_START</vt:lpstr>
      <vt:lpstr>TARGET_OWNER_6_START</vt:lpstr>
      <vt:lpstr>TARGET_OWNER_7_START</vt:lpstr>
      <vt:lpstr>TARGET_OWNER_8_START</vt:lpstr>
      <vt:lpstr>TARGET_OWNER_9_START</vt:lpstr>
      <vt:lpstr>TARGET_OWNER_PROJ_DESCRIPTION</vt:lpstr>
      <vt:lpstr>TARGET_OWNER_TOP</vt:lpstr>
      <vt:lpstr>TARGET_RENTAL_1_START</vt:lpstr>
      <vt:lpstr>TARGET_RENTAL_10_START</vt:lpstr>
      <vt:lpstr>TARGET_RENTAL_11_START</vt:lpstr>
      <vt:lpstr>TARGET_RENTAL_12_START</vt:lpstr>
      <vt:lpstr>TARGET_RENTAL_13_START</vt:lpstr>
      <vt:lpstr>TARGET_RENTAL_14_START</vt:lpstr>
      <vt:lpstr>TARGET_RENTAL_15_START</vt:lpstr>
      <vt:lpstr>TARGET_RENTAL_16_START</vt:lpstr>
      <vt:lpstr>TARGET_RENTAL_17_START</vt:lpstr>
      <vt:lpstr>TARGET_RENTAL_18_START</vt:lpstr>
      <vt:lpstr>TARGET_RENTAL_19_START</vt:lpstr>
      <vt:lpstr>TARGET_RENTAL_2_START</vt:lpstr>
      <vt:lpstr>TARGET_RENTAL_20_START</vt:lpstr>
      <vt:lpstr>TARGET_RENTAL_21_START</vt:lpstr>
      <vt:lpstr>TARGET_RENTAL_22_START</vt:lpstr>
      <vt:lpstr>TARGET_RENTAL_23_START</vt:lpstr>
      <vt:lpstr>TARGET_RENTAL_3_START</vt:lpstr>
      <vt:lpstr>TARGET_RENTAL_4_START</vt:lpstr>
      <vt:lpstr>TARGET_RENTAL_5_START</vt:lpstr>
      <vt:lpstr>TARGET_RENTAL_6_START</vt:lpstr>
      <vt:lpstr>TARGET_RENTAL_7_START</vt:lpstr>
      <vt:lpstr>TARGET_RENTAL_8_START</vt:lpstr>
      <vt:lpstr>TARGET_RENTAL_9_START</vt:lpstr>
      <vt:lpstr>TARGET_RENTAL_PROJ_DESCRIPTION</vt:lpstr>
      <vt:lpstr>TARGET_RENTAL_TOP</vt:lpstr>
      <vt:lpstr>TARGET_WELCOME_TOP</vt:lpstr>
      <vt:lpstr>UNDERFMV_UNITS</vt:lpstr>
      <vt:lpstr>UNIQUEFIN_DATA_REQ_FLAG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2021-01-22T23:28:33Z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6b385a4-c4f2-4c8e-b56c-f802145fa077_Enabled">
    <vt:lpwstr>true</vt:lpwstr>
  </property>
  <property fmtid="{D5CDD505-2E9C-101B-9397-08002B2CF9AE}" pid="3" name="MSIP_Label_f6b385a4-c4f2-4c8e-b56c-f802145fa077_SetDate">
    <vt:lpwstr>2021-01-22T23:28:31Z</vt:lpwstr>
  </property>
  <property fmtid="{D5CDD505-2E9C-101B-9397-08002B2CF9AE}" pid="4" name="MSIP_Label_f6b385a4-c4f2-4c8e-b56c-f802145fa077_Method">
    <vt:lpwstr>Privileged</vt:lpwstr>
  </property>
  <property fmtid="{D5CDD505-2E9C-101B-9397-08002B2CF9AE}" pid="5" name="MSIP_Label_f6b385a4-c4f2-4c8e-b56c-f802145fa077_Name">
    <vt:lpwstr>Internal</vt:lpwstr>
  </property>
  <property fmtid="{D5CDD505-2E9C-101B-9397-08002B2CF9AE}" pid="6" name="MSIP_Label_f6b385a4-c4f2-4c8e-b56c-f802145fa077_SiteId">
    <vt:lpwstr>f0780ff9-b2ea-4cc5-aac1-4c940bd78c8c</vt:lpwstr>
  </property>
  <property fmtid="{D5CDD505-2E9C-101B-9397-08002B2CF9AE}" pid="7" name="MSIP_Label_f6b385a4-c4f2-4c8e-b56c-f802145fa077_ActionId">
    <vt:lpwstr>8306b03a-f619-4806-ba68-e63b95583431</vt:lpwstr>
  </property>
  <property fmtid="{D5CDD505-2E9C-101B-9397-08002B2CF9AE}" pid="8" name="MSIP_Label_f6b385a4-c4f2-4c8e-b56c-f802145fa077_ContentBits">
    <vt:lpwstr>2</vt:lpwstr>
  </property>
</Properties>
</file>